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HSH\OneDrive - Belkod AB\Belkod AB\Sala\"/>
    </mc:Choice>
  </mc:AlternateContent>
  <xr:revisionPtr revIDLastSave="27" documentId="8_{3197D109-A28E-4276-B311-C033286BD96A}" xr6:coauthVersionLast="32" xr6:coauthVersionMax="32" xr10:uidLastSave="{D2DAA21B-8133-4EAE-9D4D-6AF2D9EF4711}"/>
  <workbookProtection workbookAlgorithmName="SHA-512" workbookHashValue="cks+rxznDZzXQAgp+TH44OQDHv2PXuACME2j5LcG0xqosNwuVb8j4ILzSmGi0dMSV0FMTLnxEGCGi6yDMLgzCA==" workbookSaltValue="IYqOBhK09ULnXghh9d0RNg==" workbookSpinCount="100000" lockStructure="1"/>
  <bookViews>
    <workbookView xWindow="0" yWindow="0" windowWidth="32730" windowHeight="14475" firstSheet="1" activeTab="1" xr2:uid="{5C315251-CBE8-477C-9CE1-5F82EA762B05}"/>
  </bookViews>
  <sheets>
    <sheet name="Forsendur" sheetId="2" state="hidden" r:id="rId1"/>
    <sheet name="LED - skipta strax!" sheetId="3"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3" l="1"/>
  <c r="D5" i="2" l="1"/>
  <c r="D39" i="2" s="1"/>
  <c r="D15" i="3"/>
  <c r="D9" i="2" s="1"/>
  <c r="O2" i="2"/>
  <c r="D34" i="2" l="1"/>
  <c r="D33" i="2"/>
  <c r="D38" i="2"/>
  <c r="D36" i="2"/>
  <c r="D37" i="2"/>
  <c r="D35" i="2"/>
  <c r="D27" i="2"/>
  <c r="D28" i="2" s="1"/>
  <c r="D6" i="2"/>
  <c r="U2" i="2" s="1"/>
  <c r="V2" i="2" s="1"/>
  <c r="E3" i="2"/>
  <c r="F3" i="2"/>
  <c r="D3" i="2"/>
  <c r="F2" i="2"/>
  <c r="E2" i="2"/>
  <c r="W2" i="2" s="1"/>
  <c r="D2" i="2"/>
  <c r="D16" i="2" s="1"/>
  <c r="L31" i="2"/>
  <c r="L32" i="2"/>
  <c r="L33" i="2"/>
  <c r="L34" i="2"/>
  <c r="L35" i="2"/>
  <c r="L36" i="2"/>
  <c r="L37" i="2"/>
  <c r="L38" i="2"/>
  <c r="L39" i="2"/>
  <c r="L40" i="2"/>
  <c r="L41" i="2"/>
  <c r="L42" i="2"/>
  <c r="L43" i="2"/>
  <c r="L44" i="2"/>
  <c r="L45" i="2"/>
  <c r="L46" i="2"/>
  <c r="L47" i="2"/>
  <c r="L48" i="2"/>
  <c r="N2" i="2"/>
  <c r="M30" i="2" s="1"/>
  <c r="D40" i="2" l="1"/>
  <c r="K2" i="2"/>
  <c r="K30" i="2" s="1"/>
  <c r="D30" i="2"/>
  <c r="L2" i="2"/>
  <c r="L30" i="2" s="1"/>
  <c r="U3" i="2"/>
  <c r="U4" i="2" s="1"/>
  <c r="U5" i="2" s="1"/>
  <c r="G3" i="2"/>
  <c r="X2" i="2"/>
  <c r="Y3" i="2" s="1"/>
  <c r="D7" i="2"/>
  <c r="D15" i="2"/>
  <c r="D17" i="2" s="1"/>
  <c r="D18" i="2" s="1"/>
  <c r="D19" i="2" s="1"/>
  <c r="D21" i="2" s="1"/>
  <c r="D22" i="2" s="1"/>
  <c r="D11" i="2"/>
  <c r="G2" i="2"/>
  <c r="N3" i="2" l="1"/>
  <c r="O3" i="2"/>
  <c r="L22" i="2"/>
  <c r="M2" i="2"/>
  <c r="W3" i="2"/>
  <c r="X3" i="2" s="1"/>
  <c r="Y4" i="2" s="1"/>
  <c r="O4" i="2" s="1"/>
  <c r="P2" i="2"/>
  <c r="P3" i="2" s="1"/>
  <c r="P4" i="2" s="1"/>
  <c r="F21" i="3"/>
  <c r="V3" i="2"/>
  <c r="V4" i="2" s="1"/>
  <c r="V5" i="2" s="1"/>
  <c r="K3" i="2"/>
  <c r="M3" i="2" s="1"/>
  <c r="U6" i="2"/>
  <c r="U7" i="2" s="1"/>
  <c r="U8" i="2" s="1"/>
  <c r="U9" i="2" s="1"/>
  <c r="U10" i="2" s="1"/>
  <c r="U11" i="2" s="1"/>
  <c r="U12" i="2" s="1"/>
  <c r="U13" i="2" s="1"/>
  <c r="U14" i="2" s="1"/>
  <c r="U15" i="2" s="1"/>
  <c r="U16" i="2" s="1"/>
  <c r="U17" i="2" s="1"/>
  <c r="U18" i="2" s="1"/>
  <c r="U19" i="2" s="1"/>
  <c r="U20" i="2" s="1"/>
  <c r="M31" i="2" l="1"/>
  <c r="R2" i="2"/>
  <c r="S2" i="2" s="1"/>
  <c r="K4" i="2"/>
  <c r="M4" i="2" s="1"/>
  <c r="W4" i="2"/>
  <c r="X4" i="2" s="1"/>
  <c r="N4" i="2"/>
  <c r="M32" i="2" s="1"/>
  <c r="R3" i="2"/>
  <c r="S31" i="2" s="1"/>
  <c r="K31" i="2"/>
  <c r="V6" i="2"/>
  <c r="V7" i="2" s="1"/>
  <c r="V8" i="2" s="1"/>
  <c r="V9" i="2" s="1"/>
  <c r="V10" i="2" s="1"/>
  <c r="V11" i="2" s="1"/>
  <c r="V12" i="2" s="1"/>
  <c r="V13" i="2" s="1"/>
  <c r="V14" i="2" s="1"/>
  <c r="V15" i="2" s="1"/>
  <c r="V16" i="2" s="1"/>
  <c r="V17" i="2" s="1"/>
  <c r="V18" i="2" s="1"/>
  <c r="V19" i="2" s="1"/>
  <c r="V20" i="2" s="1"/>
  <c r="P5" i="2"/>
  <c r="S30" i="2" l="1"/>
  <c r="K32" i="2"/>
  <c r="R4" i="2"/>
  <c r="S32" i="2" s="1"/>
  <c r="S3" i="2"/>
  <c r="T31" i="2" s="1"/>
  <c r="T30" i="2"/>
  <c r="Y5" i="2"/>
  <c r="O5" i="2" s="1"/>
  <c r="W5" i="2"/>
  <c r="P6" i="2"/>
  <c r="S4" i="2" l="1"/>
  <c r="T32" i="2" s="1"/>
  <c r="X5" i="2"/>
  <c r="Y6" i="2" s="1"/>
  <c r="O6" i="2" s="1"/>
  <c r="N5" i="2"/>
  <c r="K5" i="2"/>
  <c r="P7" i="2"/>
  <c r="W6" i="2" l="1"/>
  <c r="X6" i="2" s="1"/>
  <c r="K6" i="2"/>
  <c r="N6" i="2"/>
  <c r="M33" i="2"/>
  <c r="M5" i="2"/>
  <c r="K33" i="2"/>
  <c r="P8" i="2"/>
  <c r="R5" i="2" l="1"/>
  <c r="S33" i="2" s="1"/>
  <c r="M34" i="2"/>
  <c r="K34" i="2"/>
  <c r="M6" i="2"/>
  <c r="R6" i="2" s="1"/>
  <c r="W7" i="2"/>
  <c r="Y7" i="2"/>
  <c r="O7" i="2" s="1"/>
  <c r="P9" i="2"/>
  <c r="S5" i="2" l="1"/>
  <c r="T33" i="2" s="1"/>
  <c r="N7" i="2"/>
  <c r="K7" i="2"/>
  <c r="S34" i="2"/>
  <c r="X7" i="2"/>
  <c r="P10" i="2"/>
  <c r="S6" i="2" l="1"/>
  <c r="T34" i="2" s="1"/>
  <c r="M35" i="2"/>
  <c r="M7" i="2"/>
  <c r="R7" i="2" s="1"/>
  <c r="K35" i="2"/>
  <c r="W8" i="2"/>
  <c r="Y8" i="2"/>
  <c r="O8" i="2" s="1"/>
  <c r="P11" i="2"/>
  <c r="N8" i="2" l="1"/>
  <c r="K8" i="2"/>
  <c r="S35" i="2"/>
  <c r="S7" i="2"/>
  <c r="X8" i="2"/>
  <c r="P12" i="2"/>
  <c r="T35" i="2" l="1"/>
  <c r="M36" i="2"/>
  <c r="K36" i="2"/>
  <c r="M8" i="2"/>
  <c r="R8" i="2" s="1"/>
  <c r="W9" i="2"/>
  <c r="Y9" i="2"/>
  <c r="O9" i="2" s="1"/>
  <c r="P13" i="2"/>
  <c r="S36" i="2" l="1"/>
  <c r="S8" i="2"/>
  <c r="K9" i="2"/>
  <c r="N9" i="2"/>
  <c r="X9" i="2"/>
  <c r="P14" i="2"/>
  <c r="T36" i="2" l="1"/>
  <c r="K37" i="2"/>
  <c r="M9" i="2"/>
  <c r="R9" i="2" s="1"/>
  <c r="M37" i="2"/>
  <c r="W10" i="2"/>
  <c r="Y10" i="2"/>
  <c r="O10" i="2" s="1"/>
  <c r="P15" i="2"/>
  <c r="S37" i="2" l="1"/>
  <c r="S9" i="2"/>
  <c r="T37" i="2" s="1"/>
  <c r="K10" i="2"/>
  <c r="N10" i="2"/>
  <c r="X10" i="2"/>
  <c r="P16" i="2"/>
  <c r="K38" i="2" l="1"/>
  <c r="M10" i="2"/>
  <c r="R10" i="2" s="1"/>
  <c r="M38" i="2"/>
  <c r="Y11" i="2"/>
  <c r="O11" i="2" s="1"/>
  <c r="W11" i="2"/>
  <c r="P17" i="2"/>
  <c r="N11" i="2" l="1"/>
  <c r="K11" i="2"/>
  <c r="S38" i="2"/>
  <c r="S10" i="2"/>
  <c r="T38" i="2" s="1"/>
  <c r="X11" i="2"/>
  <c r="P18" i="2"/>
  <c r="M39" i="2" l="1"/>
  <c r="K39" i="2"/>
  <c r="M11" i="2"/>
  <c r="R11" i="2" s="1"/>
  <c r="W12" i="2"/>
  <c r="Y12" i="2"/>
  <c r="O12" i="2" s="1"/>
  <c r="P19" i="2"/>
  <c r="S39" i="2" l="1"/>
  <c r="S11" i="2"/>
  <c r="F28" i="3" s="1"/>
  <c r="K12" i="2"/>
  <c r="N12" i="2"/>
  <c r="X12" i="2"/>
  <c r="P20" i="2"/>
  <c r="K40" i="2" l="1"/>
  <c r="M12" i="2"/>
  <c r="R12" i="2" s="1"/>
  <c r="S40" i="2" s="1"/>
  <c r="T39" i="2"/>
  <c r="M40" i="2"/>
  <c r="Y13" i="2"/>
  <c r="O13" i="2" s="1"/>
  <c r="W13" i="2"/>
  <c r="P22" i="2"/>
  <c r="X13" i="2" l="1"/>
  <c r="W14" i="2" s="1"/>
  <c r="S12" i="2"/>
  <c r="T40" i="2" s="1"/>
  <c r="K13" i="2"/>
  <c r="N13" i="2"/>
  <c r="Y14" i="2" l="1"/>
  <c r="M41" i="2"/>
  <c r="K41" i="2"/>
  <c r="M13" i="2"/>
  <c r="R13" i="2" s="1"/>
  <c r="N14" i="2" l="1"/>
  <c r="O14" i="2"/>
  <c r="X14" i="2"/>
  <c r="Y15" i="2" s="1"/>
  <c r="O15" i="2" s="1"/>
  <c r="K14" i="2"/>
  <c r="M14" i="2" s="1"/>
  <c r="S41" i="2"/>
  <c r="S13" i="2"/>
  <c r="T41" i="2" s="1"/>
  <c r="M42" i="2" l="1"/>
  <c r="W15" i="2"/>
  <c r="X15" i="2" s="1"/>
  <c r="R14" i="2"/>
  <c r="S42" i="2" s="1"/>
  <c r="K42" i="2"/>
  <c r="N15" i="2"/>
  <c r="K15" i="2"/>
  <c r="S14" i="2" l="1"/>
  <c r="T42" i="2" s="1"/>
  <c r="M43" i="2"/>
  <c r="K43" i="2"/>
  <c r="M15" i="2"/>
  <c r="R15" i="2" s="1"/>
  <c r="Y16" i="2"/>
  <c r="O16" i="2" s="1"/>
  <c r="W16" i="2"/>
  <c r="X16" i="2" l="1"/>
  <c r="W17" i="2" s="1"/>
  <c r="N16" i="2"/>
  <c r="K16" i="2"/>
  <c r="S43" i="2"/>
  <c r="S15" i="2"/>
  <c r="T43" i="2" s="1"/>
  <c r="Y17" i="2" l="1"/>
  <c r="K44" i="2"/>
  <c r="M16" i="2"/>
  <c r="R16" i="2" s="1"/>
  <c r="M44" i="2"/>
  <c r="X17" i="2" l="1"/>
  <c r="Y18" i="2" s="1"/>
  <c r="O18" i="2" s="1"/>
  <c r="O17" i="2"/>
  <c r="N17" i="2"/>
  <c r="K17" i="2"/>
  <c r="M17" i="2" s="1"/>
  <c r="S44" i="2"/>
  <c r="S16" i="2"/>
  <c r="T44" i="2" s="1"/>
  <c r="N18" i="2" l="1"/>
  <c r="M46" i="2" s="1"/>
  <c r="K18" i="2"/>
  <c r="K46" i="2" s="1"/>
  <c r="W18" i="2"/>
  <c r="X18" i="2" s="1"/>
  <c r="W19" i="2" s="1"/>
  <c r="M45" i="2"/>
  <c r="R17" i="2"/>
  <c r="S17" i="2" s="1"/>
  <c r="T45" i="2" s="1"/>
  <c r="K45" i="2"/>
  <c r="Y19" i="2" l="1"/>
  <c r="O19" i="2" s="1"/>
  <c r="M18" i="2"/>
  <c r="R18" i="2" s="1"/>
  <c r="S18" i="2" s="1"/>
  <c r="T46" i="2" s="1"/>
  <c r="S45" i="2"/>
  <c r="N19" i="2" l="1"/>
  <c r="M47" i="2" s="1"/>
  <c r="K19" i="2"/>
  <c r="M19" i="2" s="1"/>
  <c r="X19" i="2"/>
  <c r="W20" i="2" s="1"/>
  <c r="S46" i="2"/>
  <c r="R19" i="2" l="1"/>
  <c r="S19" i="2" s="1"/>
  <c r="T47" i="2" s="1"/>
  <c r="K47" i="2"/>
  <c r="Y20" i="2"/>
  <c r="O20" i="2" s="1"/>
  <c r="S47" i="2" l="1"/>
  <c r="K20" i="2"/>
  <c r="K48" i="2" s="1"/>
  <c r="N20" i="2"/>
  <c r="N22" i="2" s="1"/>
  <c r="D29" i="2" s="1"/>
  <c r="D31" i="2" s="1"/>
  <c r="X20" i="2"/>
  <c r="O22" i="2"/>
  <c r="M48" i="2" l="1"/>
  <c r="K22" i="2"/>
  <c r="D44" i="2" s="1"/>
  <c r="M20" i="2"/>
  <c r="R20" i="2" s="1"/>
  <c r="R23" i="2" s="1"/>
  <c r="P24" i="2"/>
  <c r="P25" i="2" s="1"/>
  <c r="M22" i="2" l="1"/>
  <c r="O24" i="2" s="1"/>
  <c r="O25" i="2" s="1"/>
  <c r="S48" i="2"/>
  <c r="R22" i="2"/>
  <c r="D48" i="2" s="1"/>
  <c r="F30" i="3" s="1"/>
  <c r="S20" i="2"/>
  <c r="T48" i="2" s="1"/>
  <c r="D42" i="2" l="1"/>
  <c r="D45" i="2" s="1"/>
  <c r="F22" i="3"/>
  <c r="F23" i="3" s="1"/>
  <c r="S22" i="2"/>
  <c r="AA3" i="2" l="1"/>
  <c r="AA19" i="2"/>
  <c r="AA16" i="2"/>
  <c r="AA9" i="2"/>
  <c r="AA6" i="2"/>
  <c r="AA7" i="2"/>
  <c r="AA4" i="2"/>
  <c r="AA20" i="2"/>
  <c r="AA13" i="2"/>
  <c r="AA14" i="2"/>
  <c r="AA11" i="2"/>
  <c r="AA8" i="2"/>
  <c r="AA10" i="2"/>
  <c r="AA17" i="2"/>
  <c r="AA18" i="2"/>
  <c r="D47" i="2"/>
  <c r="F26" i="3" s="1"/>
  <c r="AA15" i="2"/>
  <c r="AA12" i="2"/>
  <c r="AA5" i="2"/>
  <c r="AA2" i="2"/>
</calcChain>
</file>

<file path=xl/sharedStrings.xml><?xml version="1.0" encoding="utf-8"?>
<sst xmlns="http://schemas.openxmlformats.org/spreadsheetml/2006/main" count="112" uniqueCount="80">
  <si>
    <t>W</t>
  </si>
  <si>
    <t>klst</t>
  </si>
  <si>
    <t>ár</t>
  </si>
  <si>
    <t>kr/kWh</t>
  </si>
  <si>
    <t>ending</t>
  </si>
  <si>
    <t>Fjöldi pera</t>
  </si>
  <si>
    <t>Ending</t>
  </si>
  <si>
    <t>kW</t>
  </si>
  <si>
    <t>kWh</t>
  </si>
  <si>
    <t>Orkusparnaður á ári</t>
  </si>
  <si>
    <t>kr.</t>
  </si>
  <si>
    <t>Tími í að skipta um peru</t>
  </si>
  <si>
    <t>mín</t>
  </si>
  <si>
    <t>Heildartími</t>
  </si>
  <si>
    <t>Kostnaður á ári</t>
  </si>
  <si>
    <t>Mismunur</t>
  </si>
  <si>
    <t>Ár 1</t>
  </si>
  <si>
    <t>Núverandi pera</t>
  </si>
  <si>
    <t>stk.</t>
  </si>
  <si>
    <t>Kveiking á viku</t>
  </si>
  <si>
    <t>Endingartími</t>
  </si>
  <si>
    <t>Orkuverð</t>
  </si>
  <si>
    <t>Ný pera</t>
  </si>
  <si>
    <t>Afl</t>
  </si>
  <si>
    <t>Aflmunur á perum</t>
  </si>
  <si>
    <t>Samtals aflmunur</t>
  </si>
  <si>
    <t>Sparnaður vegna afls í ballest</t>
  </si>
  <si>
    <t>Samtals aflmunur í kW</t>
  </si>
  <si>
    <t>Samtals aflmunur í kW allra pera</t>
  </si>
  <si>
    <t>Orkunotkun á ári</t>
  </si>
  <si>
    <t>Tímakaup iðnaðarmanns</t>
  </si>
  <si>
    <t>kr. á tíma</t>
  </si>
  <si>
    <t>Endingartími peru</t>
  </si>
  <si>
    <t>Kostnaður við að skipta um allar perur</t>
  </si>
  <si>
    <t>kr. á ári</t>
  </si>
  <si>
    <t>Meðaltals kostnaður v. peruskipta á ári</t>
  </si>
  <si>
    <t>Verð</t>
  </si>
  <si>
    <t>Verðmismunur á perum</t>
  </si>
  <si>
    <t xml:space="preserve">G perur </t>
  </si>
  <si>
    <t>LED per</t>
  </si>
  <si>
    <t>mismunur</t>
  </si>
  <si>
    <t>Peruskipti</t>
  </si>
  <si>
    <t>1. tími perusk.</t>
  </si>
  <si>
    <t>Orkusparn.</t>
  </si>
  <si>
    <t>Mism.</t>
  </si>
  <si>
    <t>Uppsafnað</t>
  </si>
  <si>
    <t>Samtals meðal sparnaður á ári</t>
  </si>
  <si>
    <t>End ár</t>
  </si>
  <si>
    <t>kveiking ári</t>
  </si>
  <si>
    <t>kveikt</t>
  </si>
  <si>
    <t>eftir ending</t>
  </si>
  <si>
    <t>skipti</t>
  </si>
  <si>
    <t>Meðal mismunur pera</t>
  </si>
  <si>
    <t>Tími að greiða upp fjárfestingu</t>
  </si>
  <si>
    <t>Heildar sparnaður á líftíma LED</t>
  </si>
  <si>
    <t>Ár</t>
  </si>
  <si>
    <t>Núverandi flúrpera</t>
  </si>
  <si>
    <t>Ný Led pera</t>
  </si>
  <si>
    <t>klst.</t>
  </si>
  <si>
    <t>Lýsingartími á viku</t>
  </si>
  <si>
    <t>stundir</t>
  </si>
  <si>
    <t>Einungis þarf að velja gildi í gulu reitunum en þó er hægt að breyta öllum bláum tölum.</t>
  </si>
  <si>
    <t>Samtals meðaltals sparnaður á ári</t>
  </si>
  <si>
    <t>Tími í að greiða upp fjárfestingu</t>
  </si>
  <si>
    <t>FORSENDUR</t>
  </si>
  <si>
    <t>NIÐURSTÖÐUR</t>
  </si>
  <si>
    <t>Fjárhagslegur ávinningur af að skipta úr flúrperum fyrir Belkod-LED perur</t>
  </si>
  <si>
    <t>Heildar sparnaður á líftíma LED pera</t>
  </si>
  <si>
    <t>Heildar sparnaður á 10 árum</t>
  </si>
  <si>
    <t>Meðaltals rekstrarsparnaður á ári *</t>
  </si>
  <si>
    <r>
      <t xml:space="preserve">* </t>
    </r>
    <r>
      <rPr>
        <i/>
        <sz val="9"/>
        <color theme="1"/>
        <rFont val="Calibri"/>
        <family val="2"/>
        <scheme val="minor"/>
      </rPr>
      <t xml:space="preserve">Nálgun, eingöngu út frá áætluðum peruskiptum. </t>
    </r>
  </si>
  <si>
    <t>Hlutfallslegur fastur kostnaður á ári</t>
  </si>
  <si>
    <t>Margfeldistuðull</t>
  </si>
  <si>
    <t>9-12 = 0,8</t>
  </si>
  <si>
    <t>13-19= 0,7</t>
  </si>
  <si>
    <t>20-79= 0,6</t>
  </si>
  <si>
    <t>80-200 =0,58</t>
  </si>
  <si>
    <t>&gt;200 = 0,575</t>
  </si>
  <si>
    <t>1-3 = 1</t>
  </si>
  <si>
    <t>4-8 = 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</si>
</sst>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x14ac:knownFonts="1">
    <font>
      <sz val="11"/>
      <color theme="1"/>
      <name val="Calibri"/>
      <family val="2"/>
      <scheme val="minor"/>
    </font>
    <font>
      <b/>
      <sz val="11"/>
      <color theme="1"/>
      <name val="Calibri"/>
      <family val="2"/>
      <scheme val="minor"/>
    </font>
    <font>
      <sz val="8"/>
      <color theme="1"/>
      <name val="Calibri"/>
      <family val="2"/>
      <scheme val="minor"/>
    </font>
    <font>
      <b/>
      <i/>
      <sz val="11"/>
      <color theme="1"/>
      <name val="Calibri"/>
      <family val="2"/>
      <scheme val="minor"/>
    </font>
    <font>
      <b/>
      <sz val="11"/>
      <color theme="4"/>
      <name val="Calibri"/>
      <family val="2"/>
      <scheme val="minor"/>
    </font>
    <font>
      <sz val="11"/>
      <color theme="4"/>
      <name val="Calibri"/>
      <family val="2"/>
      <scheme val="minor"/>
    </font>
    <font>
      <b/>
      <sz val="12"/>
      <color theme="5" tint="-0.249977111117893"/>
      <name val="Calibri"/>
      <family val="2"/>
      <scheme val="minor"/>
    </font>
    <font>
      <sz val="12"/>
      <color theme="1"/>
      <name val="Calibri"/>
      <family val="2"/>
      <scheme val="minor"/>
    </font>
    <font>
      <i/>
      <sz val="11"/>
      <color theme="4"/>
      <name val="Calibri"/>
      <family val="2"/>
      <scheme val="minor"/>
    </font>
    <font>
      <b/>
      <sz val="12"/>
      <color theme="1"/>
      <name val="Calibri"/>
      <family val="2"/>
      <scheme val="minor"/>
    </font>
    <font>
      <sz val="11"/>
      <color theme="1"/>
      <name val="Copperplate Gothic Bold"/>
      <family val="2"/>
    </font>
    <font>
      <b/>
      <sz val="18"/>
      <color theme="5" tint="-0.249977111117893"/>
      <name val="Calibri"/>
      <family val="2"/>
      <scheme val="minor"/>
    </font>
    <font>
      <i/>
      <sz val="9"/>
      <color theme="1"/>
      <name val="Calibri"/>
      <family val="2"/>
      <scheme val="minor"/>
    </font>
    <font>
      <sz val="13"/>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gradientFill type="path" left="0.5" right="0.5" top="0.5" bottom="0.5">
        <stop position="0">
          <color theme="0"/>
        </stop>
        <stop position="1">
          <color theme="5" tint="0.59999389629810485"/>
        </stop>
      </gradient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63">
    <xf numFmtId="0" fontId="0" fillId="0" borderId="0" xfId="0"/>
    <xf numFmtId="3" fontId="0" fillId="0" borderId="0" xfId="0" applyNumberFormat="1"/>
    <xf numFmtId="164" fontId="0" fillId="0" borderId="0" xfId="0" applyNumberFormat="1"/>
    <xf numFmtId="4" fontId="0" fillId="0" borderId="0" xfId="0" applyNumberFormat="1"/>
    <xf numFmtId="165" fontId="0" fillId="0" borderId="0" xfId="0" applyNumberFormat="1"/>
    <xf numFmtId="3" fontId="1" fillId="0" borderId="0" xfId="0" applyNumberFormat="1" applyFont="1"/>
    <xf numFmtId="3" fontId="2" fillId="0" borderId="0" xfId="0" applyNumberFormat="1" applyFont="1"/>
    <xf numFmtId="3" fontId="0" fillId="2" borderId="0" xfId="0" applyNumberFormat="1" applyFill="1"/>
    <xf numFmtId="3" fontId="5" fillId="4" borderId="2" xfId="0" applyNumberFormat="1" applyFont="1" applyFill="1" applyBorder="1" applyAlignment="1" applyProtection="1">
      <alignment horizontal="center"/>
      <protection locked="0"/>
    </xf>
    <xf numFmtId="3" fontId="5" fillId="4" borderId="10" xfId="0" applyNumberFormat="1" applyFont="1" applyFill="1" applyBorder="1" applyAlignment="1" applyProtection="1">
      <alignment horizontal="center"/>
      <protection locked="0"/>
    </xf>
    <xf numFmtId="3" fontId="0" fillId="4" borderId="0" xfId="0" applyNumberFormat="1" applyFill="1" applyProtection="1"/>
    <xf numFmtId="0" fontId="0" fillId="4" borderId="0" xfId="0" applyFill="1" applyProtection="1"/>
    <xf numFmtId="3" fontId="11" fillId="4" borderId="0" xfId="0" applyNumberFormat="1" applyFont="1" applyFill="1" applyAlignment="1" applyProtection="1">
      <alignment vertical="center"/>
    </xf>
    <xf numFmtId="3" fontId="2" fillId="0" borderId="0" xfId="0" applyNumberFormat="1" applyFont="1" applyFill="1"/>
    <xf numFmtId="3" fontId="0" fillId="0" borderId="0" xfId="0" applyNumberFormat="1" applyFill="1"/>
    <xf numFmtId="4" fontId="0" fillId="3" borderId="0" xfId="0" applyNumberFormat="1" applyFill="1"/>
    <xf numFmtId="164" fontId="0" fillId="5" borderId="0" xfId="0" applyNumberFormat="1" applyFill="1"/>
    <xf numFmtId="3" fontId="1" fillId="0" borderId="0" xfId="0" applyNumberFormat="1" applyFont="1" applyFill="1"/>
    <xf numFmtId="4" fontId="0" fillId="0" borderId="0" xfId="0" applyNumberFormat="1" applyFill="1"/>
    <xf numFmtId="3" fontId="1" fillId="7" borderId="0" xfId="0" applyNumberFormat="1" applyFont="1" applyFill="1"/>
    <xf numFmtId="4" fontId="1" fillId="0" borderId="0" xfId="0" applyNumberFormat="1" applyFont="1"/>
    <xf numFmtId="3" fontId="0" fillId="0" borderId="0" xfId="0" applyNumberFormat="1" applyFont="1"/>
    <xf numFmtId="4" fontId="0" fillId="0" borderId="0" xfId="0" applyNumberFormat="1" applyFont="1"/>
    <xf numFmtId="164" fontId="5" fillId="4" borderId="20" xfId="0" applyNumberFormat="1" applyFont="1" applyFill="1" applyBorder="1" applyAlignment="1" applyProtection="1">
      <alignment horizontal="center"/>
      <protection locked="0"/>
    </xf>
    <xf numFmtId="3" fontId="0" fillId="6" borderId="0" xfId="0" applyNumberFormat="1" applyFill="1" applyProtection="1"/>
    <xf numFmtId="0" fontId="0" fillId="6" borderId="0" xfId="0" applyFill="1" applyProtection="1"/>
    <xf numFmtId="3" fontId="6" fillId="6" borderId="0" xfId="0" applyNumberFormat="1" applyFont="1" applyFill="1" applyProtection="1"/>
    <xf numFmtId="3" fontId="8" fillId="6" borderId="0" xfId="0" applyNumberFormat="1" applyFont="1" applyFill="1" applyProtection="1"/>
    <xf numFmtId="3" fontId="0" fillId="6" borderId="12" xfId="0" applyNumberFormat="1" applyFill="1" applyBorder="1" applyProtection="1"/>
    <xf numFmtId="3" fontId="0" fillId="6" borderId="13" xfId="0" applyNumberFormat="1" applyFill="1" applyBorder="1" applyProtection="1"/>
    <xf numFmtId="0" fontId="0" fillId="6" borderId="3" xfId="0" applyFill="1" applyBorder="1" applyAlignment="1" applyProtection="1">
      <alignment horizontal="left"/>
    </xf>
    <xf numFmtId="3" fontId="0" fillId="6" borderId="3" xfId="0" applyNumberFormat="1" applyFill="1" applyBorder="1" applyAlignment="1" applyProtection="1">
      <alignment horizontal="center"/>
    </xf>
    <xf numFmtId="3" fontId="0" fillId="6" borderId="7" xfId="0" applyNumberFormat="1" applyFill="1" applyBorder="1" applyAlignment="1" applyProtection="1">
      <alignment horizontal="center"/>
    </xf>
    <xf numFmtId="3" fontId="0" fillId="6" borderId="14" xfId="0" applyNumberFormat="1" applyFill="1" applyBorder="1" applyProtection="1"/>
    <xf numFmtId="3" fontId="0" fillId="6" borderId="10" xfId="0" applyNumberFormat="1" applyFill="1" applyBorder="1" applyAlignment="1" applyProtection="1">
      <alignment horizontal="center"/>
    </xf>
    <xf numFmtId="0" fontId="0" fillId="6" borderId="9" xfId="0" applyFill="1" applyBorder="1" applyAlignment="1" applyProtection="1">
      <alignment horizontal="left"/>
    </xf>
    <xf numFmtId="3" fontId="0" fillId="6" borderId="9" xfId="0" applyNumberFormat="1" applyFill="1" applyBorder="1" applyAlignment="1" applyProtection="1">
      <alignment horizontal="center"/>
    </xf>
    <xf numFmtId="3" fontId="0" fillId="6" borderId="11" xfId="0" applyNumberFormat="1" applyFill="1" applyBorder="1" applyAlignment="1" applyProtection="1">
      <alignment horizontal="center"/>
    </xf>
    <xf numFmtId="0" fontId="0" fillId="6" borderId="19" xfId="0" applyFill="1" applyBorder="1" applyProtection="1"/>
    <xf numFmtId="3" fontId="0" fillId="6" borderId="6" xfId="0" applyNumberFormat="1" applyFill="1" applyBorder="1" applyProtection="1"/>
    <xf numFmtId="0" fontId="0" fillId="6" borderId="7" xfId="0" applyFill="1" applyBorder="1" applyProtection="1"/>
    <xf numFmtId="3" fontId="0" fillId="6" borderId="8" xfId="0" applyNumberFormat="1" applyFill="1" applyBorder="1" applyProtection="1"/>
    <xf numFmtId="0" fontId="0" fillId="6" borderId="11" xfId="0" applyFill="1" applyBorder="1" applyProtection="1"/>
    <xf numFmtId="3" fontId="7" fillId="6" borderId="0" xfId="0" applyNumberFormat="1" applyFont="1" applyFill="1" applyProtection="1"/>
    <xf numFmtId="0" fontId="7" fillId="6" borderId="0" xfId="0" applyFont="1" applyFill="1" applyProtection="1"/>
    <xf numFmtId="3" fontId="7" fillId="6" borderId="1" xfId="0" applyNumberFormat="1" applyFont="1" applyFill="1" applyBorder="1" applyProtection="1"/>
    <xf numFmtId="0" fontId="7" fillId="6" borderId="1" xfId="0" applyFont="1" applyFill="1" applyBorder="1" applyProtection="1"/>
    <xf numFmtId="3" fontId="9" fillId="6" borderId="0" xfId="0" applyNumberFormat="1" applyFont="1" applyFill="1" applyProtection="1"/>
    <xf numFmtId="0" fontId="9" fillId="6" borderId="0" xfId="0" applyFont="1" applyFill="1" applyProtection="1"/>
    <xf numFmtId="164" fontId="9" fillId="6" borderId="0" xfId="0" applyNumberFormat="1" applyFont="1" applyFill="1" applyProtection="1"/>
    <xf numFmtId="3" fontId="1" fillId="6" borderId="0" xfId="0" applyNumberFormat="1" applyFont="1" applyFill="1" applyProtection="1"/>
    <xf numFmtId="0" fontId="1" fillId="6" borderId="0" xfId="0" applyFont="1" applyFill="1" applyProtection="1"/>
    <xf numFmtId="3" fontId="13" fillId="6" borderId="0" xfId="0" applyNumberFormat="1" applyFont="1" applyFill="1" applyProtection="1"/>
    <xf numFmtId="3" fontId="0" fillId="6" borderId="0" xfId="0" applyNumberFormat="1" applyFont="1" applyFill="1" applyProtection="1"/>
    <xf numFmtId="3" fontId="4" fillId="8" borderId="18" xfId="0" applyNumberFormat="1" applyFont="1" applyFill="1" applyBorder="1" applyAlignment="1" applyProtection="1">
      <alignment horizontal="center"/>
      <protection locked="0"/>
    </xf>
    <xf numFmtId="3" fontId="4" fillId="8" borderId="17" xfId="0" applyNumberFormat="1" applyFont="1" applyFill="1" applyBorder="1" applyAlignment="1" applyProtection="1">
      <alignment horizontal="center"/>
      <protection locked="0"/>
    </xf>
    <xf numFmtId="3" fontId="4" fillId="8" borderId="2" xfId="0" applyNumberFormat="1" applyFont="1" applyFill="1" applyBorder="1" applyAlignment="1" applyProtection="1">
      <alignment horizontal="center"/>
      <protection locked="0"/>
    </xf>
    <xf numFmtId="3" fontId="0" fillId="3" borderId="0" xfId="0" applyNumberFormat="1" applyFill="1"/>
    <xf numFmtId="3" fontId="3" fillId="6" borderId="15" xfId="0" applyNumberFormat="1" applyFont="1" applyFill="1" applyBorder="1" applyAlignment="1" applyProtection="1">
      <alignment horizontal="center"/>
    </xf>
    <xf numFmtId="3" fontId="3" fillId="6" borderId="16" xfId="0" applyNumberFormat="1" applyFont="1" applyFill="1" applyBorder="1" applyAlignment="1" applyProtection="1">
      <alignment horizontal="center"/>
    </xf>
    <xf numFmtId="3" fontId="3" fillId="6" borderId="4" xfId="0" applyNumberFormat="1" applyFont="1" applyFill="1" applyBorder="1" applyAlignment="1" applyProtection="1">
      <alignment horizontal="center"/>
    </xf>
    <xf numFmtId="3" fontId="3" fillId="6" borderId="5" xfId="0" applyNumberFormat="1" applyFont="1" applyFill="1" applyBorder="1" applyAlignment="1" applyProtection="1">
      <alignment horizontal="center"/>
    </xf>
    <xf numFmtId="3" fontId="10" fillId="9" borderId="0" xfId="0" applyNumberFormat="1" applyFont="1" applyFill="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is-IS"/>
        </a:p>
      </c:txPr>
    </c:title>
    <c:autoTitleDeleted val="0"/>
    <c:plotArea>
      <c:layout/>
      <c:barChart>
        <c:barDir val="col"/>
        <c:grouping val="clustered"/>
        <c:varyColors val="0"/>
        <c:ser>
          <c:idx val="0"/>
          <c:order val="0"/>
          <c:tx>
            <c:strRef>
              <c:f>Forsendur!$S$29</c:f>
              <c:strCache>
                <c:ptCount val="1"/>
                <c:pt idx="0">
                  <c:v>Mismunur</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Forsendur!$R$30:$R$48</c:f>
              <c:numCache>
                <c:formatCode>#,##0</c:formatCod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Forsendur!$S$30:$S$48</c:f>
              <c:numCache>
                <c:formatCode>#,##0</c:formatCode>
                <c:ptCount val="19"/>
                <c:pt idx="0">
                  <c:v>-19569.839999999997</c:v>
                </c:pt>
                <c:pt idx="1">
                  <c:v>16930.160000000003</c:v>
                </c:pt>
                <c:pt idx="2">
                  <c:v>16930.160000000003</c:v>
                </c:pt>
                <c:pt idx="3">
                  <c:v>16930.160000000003</c:v>
                </c:pt>
                <c:pt idx="4">
                  <c:v>16930.160000000003</c:v>
                </c:pt>
                <c:pt idx="5">
                  <c:v>34430.160000000003</c:v>
                </c:pt>
                <c:pt idx="6">
                  <c:v>16930.160000000003</c:v>
                </c:pt>
                <c:pt idx="7">
                  <c:v>16930.160000000003</c:v>
                </c:pt>
                <c:pt idx="8">
                  <c:v>16930.160000000003</c:v>
                </c:pt>
                <c:pt idx="9">
                  <c:v>16930.160000000003</c:v>
                </c:pt>
                <c:pt idx="10">
                  <c:v>16930.160000000003</c:v>
                </c:pt>
                <c:pt idx="11">
                  <c:v>34430.160000000003</c:v>
                </c:pt>
                <c:pt idx="12">
                  <c:v>16930.160000000003</c:v>
                </c:pt>
                <c:pt idx="13">
                  <c:v>16930.160000000003</c:v>
                </c:pt>
                <c:pt idx="14">
                  <c:v>16930.160000000003</c:v>
                </c:pt>
                <c:pt idx="15">
                  <c:v>16930.160000000003</c:v>
                </c:pt>
                <c:pt idx="16">
                  <c:v>16930.160000000003</c:v>
                </c:pt>
                <c:pt idx="17">
                  <c:v>34430.160000000003</c:v>
                </c:pt>
                <c:pt idx="18">
                  <c:v>16930.160000000003</c:v>
                </c:pt>
              </c:numCache>
            </c:numRef>
          </c:val>
          <c:extLst>
            <c:ext xmlns:c16="http://schemas.microsoft.com/office/drawing/2014/chart" uri="{C3380CC4-5D6E-409C-BE32-E72D297353CC}">
              <c16:uniqueId val="{00000000-7832-40DA-8F89-D4CC7FA33F07}"/>
            </c:ext>
          </c:extLst>
        </c:ser>
        <c:ser>
          <c:idx val="1"/>
          <c:order val="1"/>
          <c:tx>
            <c:strRef>
              <c:f>Forsendur!$T$29</c:f>
              <c:strCache>
                <c:ptCount val="1"/>
                <c:pt idx="0">
                  <c:v>Uppsafnað</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Forsendur!$R$30:$R$48</c:f>
              <c:numCache>
                <c:formatCode>#,##0</c:formatCod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Forsendur!$T$30:$T$48</c:f>
              <c:numCache>
                <c:formatCode>#,##0</c:formatCode>
                <c:ptCount val="19"/>
                <c:pt idx="0">
                  <c:v>-19569.839999999997</c:v>
                </c:pt>
                <c:pt idx="1">
                  <c:v>-2639.679999999993</c:v>
                </c:pt>
                <c:pt idx="2">
                  <c:v>14290.48000000001</c:v>
                </c:pt>
                <c:pt idx="3">
                  <c:v>31220.640000000014</c:v>
                </c:pt>
                <c:pt idx="4">
                  <c:v>48150.800000000017</c:v>
                </c:pt>
                <c:pt idx="5">
                  <c:v>82580.960000000021</c:v>
                </c:pt>
                <c:pt idx="6">
                  <c:v>99511.120000000024</c:v>
                </c:pt>
                <c:pt idx="7">
                  <c:v>116441.28000000003</c:v>
                </c:pt>
                <c:pt idx="8">
                  <c:v>133371.44000000003</c:v>
                </c:pt>
                <c:pt idx="9">
                  <c:v>150301.60000000003</c:v>
                </c:pt>
                <c:pt idx="10">
                  <c:v>167231.76000000004</c:v>
                </c:pt>
                <c:pt idx="11">
                  <c:v>201661.92000000004</c:v>
                </c:pt>
                <c:pt idx="12">
                  <c:v>218592.08000000005</c:v>
                </c:pt>
                <c:pt idx="13">
                  <c:v>235522.24000000005</c:v>
                </c:pt>
                <c:pt idx="14">
                  <c:v>252452.40000000005</c:v>
                </c:pt>
                <c:pt idx="15">
                  <c:v>269382.56000000006</c:v>
                </c:pt>
                <c:pt idx="16">
                  <c:v>286312.72000000009</c:v>
                </c:pt>
                <c:pt idx="17">
                  <c:v>320742.88000000012</c:v>
                </c:pt>
                <c:pt idx="18">
                  <c:v>337673.04000000015</c:v>
                </c:pt>
              </c:numCache>
            </c:numRef>
          </c:val>
          <c:extLst>
            <c:ext xmlns:c16="http://schemas.microsoft.com/office/drawing/2014/chart" uri="{C3380CC4-5D6E-409C-BE32-E72D297353CC}">
              <c16:uniqueId val="{00000001-7832-40DA-8F89-D4CC7FA33F07}"/>
            </c:ext>
          </c:extLst>
        </c:ser>
        <c:dLbls>
          <c:showLegendKey val="0"/>
          <c:showVal val="0"/>
          <c:showCatName val="0"/>
          <c:showSerName val="0"/>
          <c:showPercent val="0"/>
          <c:showBubbleSize val="0"/>
        </c:dLbls>
        <c:gapWidth val="100"/>
        <c:overlap val="-24"/>
        <c:axId val="561203160"/>
        <c:axId val="561207752"/>
      </c:barChart>
      <c:catAx>
        <c:axId val="561203160"/>
        <c:scaling>
          <c:orientation val="minMax"/>
        </c:scaling>
        <c:delete val="0"/>
        <c:axPos val="b"/>
        <c:numFmt formatCode="#,##0"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s-IS"/>
          </a:p>
        </c:txPr>
        <c:crossAx val="561207752"/>
        <c:crosses val="autoZero"/>
        <c:auto val="1"/>
        <c:lblAlgn val="ctr"/>
        <c:lblOffset val="100"/>
        <c:noMultiLvlLbl val="0"/>
      </c:catAx>
      <c:valAx>
        <c:axId val="56120775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s-IS"/>
          </a:p>
        </c:txPr>
        <c:crossAx val="561203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s-I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is-IS"/>
              <a:t>Sparnaður</a:t>
            </a:r>
            <a:r>
              <a:rPr lang="is-IS" baseline="0"/>
              <a:t> á líftíma LED</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is-IS"/>
        </a:p>
      </c:txPr>
    </c:title>
    <c:autoTitleDeleted val="0"/>
    <c:plotArea>
      <c:layout/>
      <c:barChart>
        <c:barDir val="col"/>
        <c:grouping val="clustered"/>
        <c:varyColors val="0"/>
        <c:ser>
          <c:idx val="0"/>
          <c:order val="0"/>
          <c:tx>
            <c:strRef>
              <c:f>Forsendur!$S$29</c:f>
              <c:strCache>
                <c:ptCount val="1"/>
                <c:pt idx="0">
                  <c:v>Mismunur</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Forsendur!$R$30:$R$48</c:f>
              <c:numCache>
                <c:formatCode>#,##0</c:formatCod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Forsendur!$S$30:$S$48</c:f>
              <c:numCache>
                <c:formatCode>#,##0</c:formatCode>
                <c:ptCount val="19"/>
                <c:pt idx="0">
                  <c:v>-19569.839999999997</c:v>
                </c:pt>
                <c:pt idx="1">
                  <c:v>16930.160000000003</c:v>
                </c:pt>
                <c:pt idx="2">
                  <c:v>16930.160000000003</c:v>
                </c:pt>
                <c:pt idx="3">
                  <c:v>16930.160000000003</c:v>
                </c:pt>
                <c:pt idx="4">
                  <c:v>16930.160000000003</c:v>
                </c:pt>
                <c:pt idx="5">
                  <c:v>34430.160000000003</c:v>
                </c:pt>
                <c:pt idx="6">
                  <c:v>16930.160000000003</c:v>
                </c:pt>
                <c:pt idx="7">
                  <c:v>16930.160000000003</c:v>
                </c:pt>
                <c:pt idx="8">
                  <c:v>16930.160000000003</c:v>
                </c:pt>
                <c:pt idx="9">
                  <c:v>16930.160000000003</c:v>
                </c:pt>
                <c:pt idx="10">
                  <c:v>16930.160000000003</c:v>
                </c:pt>
                <c:pt idx="11">
                  <c:v>34430.160000000003</c:v>
                </c:pt>
                <c:pt idx="12">
                  <c:v>16930.160000000003</c:v>
                </c:pt>
                <c:pt idx="13">
                  <c:v>16930.160000000003</c:v>
                </c:pt>
                <c:pt idx="14">
                  <c:v>16930.160000000003</c:v>
                </c:pt>
                <c:pt idx="15">
                  <c:v>16930.160000000003</c:v>
                </c:pt>
                <c:pt idx="16">
                  <c:v>16930.160000000003</c:v>
                </c:pt>
                <c:pt idx="17">
                  <c:v>34430.160000000003</c:v>
                </c:pt>
                <c:pt idx="18">
                  <c:v>16930.160000000003</c:v>
                </c:pt>
              </c:numCache>
            </c:numRef>
          </c:val>
          <c:extLst>
            <c:ext xmlns:c16="http://schemas.microsoft.com/office/drawing/2014/chart" uri="{C3380CC4-5D6E-409C-BE32-E72D297353CC}">
              <c16:uniqueId val="{00000000-1C5B-462C-87A3-60D5778789FB}"/>
            </c:ext>
          </c:extLst>
        </c:ser>
        <c:ser>
          <c:idx val="1"/>
          <c:order val="1"/>
          <c:tx>
            <c:strRef>
              <c:f>Forsendur!$T$29</c:f>
              <c:strCache>
                <c:ptCount val="1"/>
                <c:pt idx="0">
                  <c:v>Uppsafnað</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Forsendur!$R$30:$R$48</c:f>
              <c:numCache>
                <c:formatCode>#,##0</c:formatCod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Forsendur!$T$30:$T$48</c:f>
              <c:numCache>
                <c:formatCode>#,##0</c:formatCode>
                <c:ptCount val="19"/>
                <c:pt idx="0">
                  <c:v>-19569.839999999997</c:v>
                </c:pt>
                <c:pt idx="1">
                  <c:v>-2639.679999999993</c:v>
                </c:pt>
                <c:pt idx="2">
                  <c:v>14290.48000000001</c:v>
                </c:pt>
                <c:pt idx="3">
                  <c:v>31220.640000000014</c:v>
                </c:pt>
                <c:pt idx="4">
                  <c:v>48150.800000000017</c:v>
                </c:pt>
                <c:pt idx="5">
                  <c:v>82580.960000000021</c:v>
                </c:pt>
                <c:pt idx="6">
                  <c:v>99511.120000000024</c:v>
                </c:pt>
                <c:pt idx="7">
                  <c:v>116441.28000000003</c:v>
                </c:pt>
                <c:pt idx="8">
                  <c:v>133371.44000000003</c:v>
                </c:pt>
                <c:pt idx="9">
                  <c:v>150301.60000000003</c:v>
                </c:pt>
                <c:pt idx="10">
                  <c:v>167231.76000000004</c:v>
                </c:pt>
                <c:pt idx="11">
                  <c:v>201661.92000000004</c:v>
                </c:pt>
                <c:pt idx="12">
                  <c:v>218592.08000000005</c:v>
                </c:pt>
                <c:pt idx="13">
                  <c:v>235522.24000000005</c:v>
                </c:pt>
                <c:pt idx="14">
                  <c:v>252452.40000000005</c:v>
                </c:pt>
                <c:pt idx="15">
                  <c:v>269382.56000000006</c:v>
                </c:pt>
                <c:pt idx="16">
                  <c:v>286312.72000000009</c:v>
                </c:pt>
                <c:pt idx="17">
                  <c:v>320742.88000000012</c:v>
                </c:pt>
                <c:pt idx="18">
                  <c:v>337673.04000000015</c:v>
                </c:pt>
              </c:numCache>
            </c:numRef>
          </c:val>
          <c:extLst>
            <c:ext xmlns:c16="http://schemas.microsoft.com/office/drawing/2014/chart" uri="{C3380CC4-5D6E-409C-BE32-E72D297353CC}">
              <c16:uniqueId val="{00000001-1C5B-462C-87A3-60D5778789FB}"/>
            </c:ext>
          </c:extLst>
        </c:ser>
        <c:dLbls>
          <c:showLegendKey val="0"/>
          <c:showVal val="0"/>
          <c:showCatName val="0"/>
          <c:showSerName val="0"/>
          <c:showPercent val="0"/>
          <c:showBubbleSize val="0"/>
        </c:dLbls>
        <c:gapWidth val="100"/>
        <c:overlap val="-24"/>
        <c:axId val="561203160"/>
        <c:axId val="561207752"/>
      </c:barChart>
      <c:catAx>
        <c:axId val="561203160"/>
        <c:scaling>
          <c:orientation val="minMax"/>
        </c:scaling>
        <c:delete val="0"/>
        <c:axPos val="b"/>
        <c:numFmt formatCode="#,##0"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s-IS"/>
          </a:p>
        </c:txPr>
        <c:crossAx val="561207752"/>
        <c:crosses val="autoZero"/>
        <c:auto val="1"/>
        <c:lblAlgn val="ctr"/>
        <c:lblOffset val="100"/>
        <c:noMultiLvlLbl val="0"/>
      </c:catAx>
      <c:valAx>
        <c:axId val="56120775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s-IS"/>
          </a:p>
        </c:txPr>
        <c:crossAx val="561203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s-I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20</xdr:col>
      <xdr:colOff>233362</xdr:colOff>
      <xdr:row>28</xdr:row>
      <xdr:rowOff>52387</xdr:rowOff>
    </xdr:from>
    <xdr:to>
      <xdr:col>27</xdr:col>
      <xdr:colOff>538162</xdr:colOff>
      <xdr:row>42</xdr:row>
      <xdr:rowOff>128587</xdr:rowOff>
    </xdr:to>
    <xdr:graphicFrame macro="">
      <xdr:nvGraphicFramePr>
        <xdr:cNvPr id="3" name="Chart 2">
          <a:extLst>
            <a:ext uri="{FF2B5EF4-FFF2-40B4-BE49-F238E27FC236}">
              <a16:creationId xmlns:a16="http://schemas.microsoft.com/office/drawing/2014/main" id="{66147F4E-DF66-40A7-99AE-EF3264598C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461596</xdr:colOff>
      <xdr:row>17</xdr:row>
      <xdr:rowOff>153865</xdr:rowOff>
    </xdr:from>
    <xdr:to>
      <xdr:col>15</xdr:col>
      <xdr:colOff>249116</xdr:colOff>
      <xdr:row>33</xdr:row>
      <xdr:rowOff>29308</xdr:rowOff>
    </xdr:to>
    <xdr:graphicFrame macro="">
      <xdr:nvGraphicFramePr>
        <xdr:cNvPr id="7" name="Chart 6">
          <a:extLst>
            <a:ext uri="{FF2B5EF4-FFF2-40B4-BE49-F238E27FC236}">
              <a16:creationId xmlns:a16="http://schemas.microsoft.com/office/drawing/2014/main" id="{208493CD-CFE5-4C1A-8AAD-3AA8743B19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315058</xdr:colOff>
      <xdr:row>3</xdr:row>
      <xdr:rowOff>139212</xdr:rowOff>
    </xdr:from>
    <xdr:to>
      <xdr:col>15</xdr:col>
      <xdr:colOff>249116</xdr:colOff>
      <xdr:row>15</xdr:row>
      <xdr:rowOff>43962</xdr:rowOff>
    </xdr:to>
    <xdr:sp macro="" textlink="">
      <xdr:nvSpPr>
        <xdr:cNvPr id="8" name="TextBox 7">
          <a:extLst>
            <a:ext uri="{FF2B5EF4-FFF2-40B4-BE49-F238E27FC236}">
              <a16:creationId xmlns:a16="http://schemas.microsoft.com/office/drawing/2014/main" id="{839FC347-6CCC-4919-B8F1-383C126E4E36}"/>
            </a:ext>
          </a:extLst>
        </xdr:cNvPr>
        <xdr:cNvSpPr txBox="1"/>
      </xdr:nvSpPr>
      <xdr:spPr>
        <a:xfrm>
          <a:off x="5458558" y="762000"/>
          <a:ext cx="3634154" cy="2535116"/>
        </a:xfrm>
        <a:prstGeom prst="rect">
          <a:avLst/>
        </a:prstGeom>
        <a:solidFill>
          <a:schemeClr val="tx1">
            <a:lumMod val="75000"/>
            <a:lumOff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is-IS" sz="1100" b="0" i="1">
              <a:solidFill>
                <a:schemeClr val="bg1"/>
              </a:solidFill>
            </a:rPr>
            <a:t>Forsendur</a:t>
          </a:r>
          <a:r>
            <a:rPr lang="is-IS" sz="1100" b="0" i="1" baseline="0">
              <a:solidFill>
                <a:schemeClr val="bg1"/>
              </a:solidFill>
            </a:rPr>
            <a:t> þessara útreikninga eru innslegin verð á perum ásamt áætluðum líftíma þeirra.  Einnig er áætlaður lýsingartími á viku og orkuverð er skv. gjaldskrá veitna.</a:t>
          </a:r>
        </a:p>
        <a:p>
          <a:pPr algn="l"/>
          <a:endParaRPr lang="is-IS" sz="1100" b="0" i="1" baseline="0">
            <a:solidFill>
              <a:schemeClr val="bg1"/>
            </a:solidFill>
          </a:endParaRPr>
        </a:p>
        <a:p>
          <a:pPr algn="l"/>
          <a:r>
            <a:rPr lang="is-IS" sz="1100" b="0" i="1" baseline="0">
              <a:solidFill>
                <a:schemeClr val="bg1"/>
              </a:solidFill>
            </a:rPr>
            <a:t>Útreikningar taka mið af þessum forsendum ásamt áætluðum kostnaði við að skipta út eldri perum á tímabilinu þar sem stuðst er við líftíma peranna ásamt viðmiðunarverði útselds iðnaðarmanns.  Bæði er stuðst við meðalkostnað og kostnað innan hvers árs.  Ekki er tekið tillit til þrifakostnaðar eða annars viðhalds sem áætla má að bætist við ef ekki er skipt út í LED.  Þá má ætla að niðurstöður hér séu heldur varfærnar.</a:t>
          </a:r>
          <a:endParaRPr lang="is-IS" sz="1100" b="0">
            <a:solidFill>
              <a:schemeClr val="bg1"/>
            </a:solidFill>
          </a:endParaRPr>
        </a:p>
      </xdr:txBody>
    </xdr:sp>
    <xdr:clientData/>
  </xdr:twoCellAnchor>
  <xdr:twoCellAnchor editAs="oneCell">
    <xdr:from>
      <xdr:col>13</xdr:col>
      <xdr:colOff>124557</xdr:colOff>
      <xdr:row>1</xdr:row>
      <xdr:rowOff>7104</xdr:rowOff>
    </xdr:from>
    <xdr:to>
      <xdr:col>15</xdr:col>
      <xdr:colOff>399111</xdr:colOff>
      <xdr:row>2</xdr:row>
      <xdr:rowOff>97066</xdr:rowOff>
    </xdr:to>
    <xdr:pic>
      <xdr:nvPicPr>
        <xdr:cNvPr id="3" name="Picture 2">
          <a:extLst>
            <a:ext uri="{FF2B5EF4-FFF2-40B4-BE49-F238E27FC236}">
              <a16:creationId xmlns:a16="http://schemas.microsoft.com/office/drawing/2014/main" id="{A3F7FCA5-8C63-41C5-83AD-A93FB5EBB7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51884" y="73046"/>
          <a:ext cx="1490823" cy="39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54F8D-DF7F-4EF3-8B32-3E3585346AEF}">
  <dimension ref="C1:AG73"/>
  <sheetViews>
    <sheetView topLeftCell="A40" workbookViewId="0">
      <selection activeCell="D71" sqref="D71:D72"/>
    </sheetView>
  </sheetViews>
  <sheetFormatPr defaultRowHeight="15" x14ac:dyDescent="0.25"/>
  <cols>
    <col min="1" max="1" width="9.140625" style="1"/>
    <col min="2" max="2" width="7.85546875" style="1" customWidth="1"/>
    <col min="3" max="3" width="38.7109375" style="1" customWidth="1"/>
    <col min="4" max="4" width="10.140625" style="1" bestFit="1" customWidth="1"/>
    <col min="5" max="10" width="9.140625" style="1"/>
    <col min="11" max="11" width="10.85546875" style="1" customWidth="1"/>
    <col min="12" max="12" width="9.140625" style="1"/>
    <col min="13" max="13" width="10.5703125" style="1" customWidth="1"/>
    <col min="14" max="16" width="9.140625" style="1"/>
    <col min="17" max="17" width="4.42578125" style="1" customWidth="1"/>
    <col min="18" max="18" width="11.28515625" style="1" customWidth="1"/>
    <col min="19" max="19" width="10.5703125" style="1" customWidth="1"/>
    <col min="20" max="16384" width="9.140625" style="1"/>
  </cols>
  <sheetData>
    <row r="1" spans="3:33" x14ac:dyDescent="0.25">
      <c r="D1" s="1" t="s">
        <v>23</v>
      </c>
      <c r="E1" s="1" t="s">
        <v>6</v>
      </c>
      <c r="F1" s="1" t="s">
        <v>36</v>
      </c>
      <c r="G1" s="1" t="s">
        <v>47</v>
      </c>
      <c r="J1" s="6" t="s">
        <v>16</v>
      </c>
      <c r="K1" s="6" t="s">
        <v>38</v>
      </c>
      <c r="L1" s="6" t="s">
        <v>39</v>
      </c>
      <c r="M1" s="6" t="s">
        <v>40</v>
      </c>
      <c r="N1" s="6" t="s">
        <v>42</v>
      </c>
      <c r="O1" s="6" t="s">
        <v>41</v>
      </c>
      <c r="P1" s="6" t="s">
        <v>43</v>
      </c>
      <c r="Q1" s="6"/>
      <c r="R1" s="6" t="s">
        <v>44</v>
      </c>
      <c r="S1" s="6" t="s">
        <v>45</v>
      </c>
      <c r="T1" s="6"/>
      <c r="U1" s="6" t="s">
        <v>48</v>
      </c>
      <c r="V1" s="6" t="s">
        <v>49</v>
      </c>
      <c r="W1" s="6" t="s">
        <v>4</v>
      </c>
      <c r="X1" s="6" t="s">
        <v>50</v>
      </c>
      <c r="Y1" s="6" t="s">
        <v>51</v>
      </c>
      <c r="Z1" s="6"/>
      <c r="AA1" s="6"/>
      <c r="AB1" s="6"/>
      <c r="AC1" s="13"/>
      <c r="AD1" s="14"/>
      <c r="AE1" s="14"/>
      <c r="AF1" s="14"/>
      <c r="AG1" s="14"/>
    </row>
    <row r="2" spans="3:33" x14ac:dyDescent="0.25">
      <c r="C2" s="1" t="s">
        <v>17</v>
      </c>
      <c r="D2" s="7">
        <f>+'LED - skipta strax!'!D9</f>
        <v>58</v>
      </c>
      <c r="E2" s="7">
        <f>+'LED - skipta strax!'!F9</f>
        <v>15000</v>
      </c>
      <c r="F2" s="7">
        <f>+'LED - skipta strax!'!H9</f>
        <v>350</v>
      </c>
      <c r="G2" s="2">
        <f>+E2/D6/52</f>
        <v>5.7692307692307692</v>
      </c>
      <c r="J2" s="1">
        <v>1</v>
      </c>
      <c r="K2" s="1">
        <f>+F2*D5</f>
        <v>3500</v>
      </c>
      <c r="L2" s="1">
        <f>+F3*D5</f>
        <v>40000</v>
      </c>
      <c r="M2" s="1">
        <f>+K2-L2</f>
        <v>-36500</v>
      </c>
      <c r="N2" s="1">
        <f>IF(Y2&gt;0,$D$25,0)</f>
        <v>0</v>
      </c>
      <c r="O2" s="1">
        <f>IF(Y2&gt;0,$D$28,0)</f>
        <v>0</v>
      </c>
      <c r="P2" s="1">
        <f>+D22</f>
        <v>16930.160000000003</v>
      </c>
      <c r="R2" s="1">
        <f>+M2+N2+O2+P2</f>
        <v>-19569.839999999997</v>
      </c>
      <c r="S2" s="1">
        <f>+R2</f>
        <v>-19569.839999999997</v>
      </c>
      <c r="U2" s="1">
        <f>+D6*52</f>
        <v>2600</v>
      </c>
      <c r="V2" s="1">
        <f>+U2</f>
        <v>2600</v>
      </c>
      <c r="W2" s="1">
        <f>+E2</f>
        <v>15000</v>
      </c>
      <c r="X2" s="1">
        <f t="shared" ref="X2:X4" si="0">+W2-U2+Y2</f>
        <v>12400</v>
      </c>
      <c r="Y2" s="1">
        <v>0</v>
      </c>
      <c r="AA2" s="1">
        <f t="shared" ref="AA2:AA20" si="1">+$D$42*J2</f>
        <v>19090.440701754389</v>
      </c>
      <c r="AC2" s="14"/>
      <c r="AD2" s="14"/>
      <c r="AE2" s="14"/>
      <c r="AF2" s="14"/>
      <c r="AG2" s="14"/>
    </row>
    <row r="3" spans="3:33" x14ac:dyDescent="0.25">
      <c r="C3" s="1" t="s">
        <v>22</v>
      </c>
      <c r="D3" s="7">
        <f>+'LED - skipta strax!'!D10</f>
        <v>25</v>
      </c>
      <c r="E3" s="7">
        <f>+'LED - skipta strax!'!F10</f>
        <v>50000</v>
      </c>
      <c r="F3" s="7">
        <f>+'LED - skipta strax!'!H10</f>
        <v>4000</v>
      </c>
      <c r="G3" s="2">
        <f>+E3/D6/52</f>
        <v>19.23076923076923</v>
      </c>
      <c r="J3" s="1">
        <v>2</v>
      </c>
      <c r="K3" s="1">
        <f>IF(Y3&gt;0,$K$2,0)</f>
        <v>0</v>
      </c>
      <c r="L3" s="1">
        <v>0</v>
      </c>
      <c r="M3" s="1">
        <f>+K3-L3</f>
        <v>0</v>
      </c>
      <c r="N3" s="1">
        <f t="shared" ref="N3:N20" si="2">IF(Y3&gt;0,$D$25,0)</f>
        <v>0</v>
      </c>
      <c r="O3" s="1">
        <f t="shared" ref="O3:O20" si="3">IF(Y3&gt;0,$D$28,0)</f>
        <v>0</v>
      </c>
      <c r="P3" s="1">
        <f>+P2</f>
        <v>16930.160000000003</v>
      </c>
      <c r="R3" s="1">
        <f t="shared" ref="R3:R20" si="4">+M3+N3+O3+P3</f>
        <v>16930.160000000003</v>
      </c>
      <c r="S3" s="1">
        <f>+R3+S2</f>
        <v>-2639.679999999993</v>
      </c>
      <c r="U3" s="1">
        <f>+U2</f>
        <v>2600</v>
      </c>
      <c r="V3" s="1">
        <f>+U3+V2</f>
        <v>5200</v>
      </c>
      <c r="W3" s="1">
        <f>+X2</f>
        <v>12400</v>
      </c>
      <c r="X3" s="1">
        <f t="shared" si="0"/>
        <v>9800</v>
      </c>
      <c r="Y3" s="1">
        <f t="shared" ref="Y3:Y4" si="5">IF(X2&lt;U2,$E$2,0)</f>
        <v>0</v>
      </c>
      <c r="AA3" s="1">
        <f t="shared" si="1"/>
        <v>38180.881403508778</v>
      </c>
      <c r="AC3" s="14"/>
      <c r="AD3" s="14"/>
      <c r="AE3" s="14"/>
      <c r="AF3" s="14"/>
      <c r="AG3" s="14"/>
    </row>
    <row r="4" spans="3:33" x14ac:dyDescent="0.25">
      <c r="J4" s="1">
        <v>3</v>
      </c>
      <c r="K4" s="1">
        <f t="shared" ref="K4:K20" si="6">IF(Y4&gt;0,$K$2,0)</f>
        <v>0</v>
      </c>
      <c r="L4" s="1">
        <v>0</v>
      </c>
      <c r="M4" s="1">
        <f t="shared" ref="M4:M20" si="7">+K4-L4</f>
        <v>0</v>
      </c>
      <c r="N4" s="1">
        <f t="shared" si="2"/>
        <v>0</v>
      </c>
      <c r="O4" s="1">
        <f t="shared" si="3"/>
        <v>0</v>
      </c>
      <c r="P4" s="1">
        <f t="shared" ref="P4:P20" si="8">+P3</f>
        <v>16930.160000000003</v>
      </c>
      <c r="R4" s="1">
        <f t="shared" si="4"/>
        <v>16930.160000000003</v>
      </c>
      <c r="S4" s="1">
        <f t="shared" ref="S4:S20" si="9">+R4+S3</f>
        <v>14290.48000000001</v>
      </c>
      <c r="U4" s="1">
        <f t="shared" ref="U4:U20" si="10">+U3</f>
        <v>2600</v>
      </c>
      <c r="V4" s="1">
        <f t="shared" ref="V4:V20" si="11">+U4+V3</f>
        <v>7800</v>
      </c>
      <c r="W4" s="1">
        <f t="shared" ref="W4:W20" si="12">+X3</f>
        <v>9800</v>
      </c>
      <c r="X4" s="1">
        <f t="shared" si="0"/>
        <v>7200</v>
      </c>
      <c r="Y4" s="1">
        <f t="shared" si="5"/>
        <v>0</v>
      </c>
      <c r="AA4" s="1">
        <f t="shared" si="1"/>
        <v>57271.322105263171</v>
      </c>
      <c r="AC4" s="14"/>
      <c r="AD4" s="14"/>
      <c r="AE4" s="14"/>
      <c r="AF4" s="14"/>
      <c r="AG4" s="14"/>
    </row>
    <row r="5" spans="3:33" x14ac:dyDescent="0.25">
      <c r="C5" s="1" t="s">
        <v>5</v>
      </c>
      <c r="D5" s="1">
        <f>'LED - skipta strax!'!D13</f>
        <v>10</v>
      </c>
      <c r="E5" s="1" t="s">
        <v>18</v>
      </c>
      <c r="J5" s="1">
        <v>4</v>
      </c>
      <c r="K5" s="1">
        <f t="shared" si="6"/>
        <v>0</v>
      </c>
      <c r="L5" s="1">
        <v>0</v>
      </c>
      <c r="M5" s="1">
        <f t="shared" si="7"/>
        <v>0</v>
      </c>
      <c r="N5" s="1">
        <f t="shared" si="2"/>
        <v>0</v>
      </c>
      <c r="O5" s="1">
        <f t="shared" si="3"/>
        <v>0</v>
      </c>
      <c r="P5" s="1">
        <f t="shared" si="8"/>
        <v>16930.160000000003</v>
      </c>
      <c r="R5" s="1">
        <f t="shared" si="4"/>
        <v>16930.160000000003</v>
      </c>
      <c r="S5" s="1">
        <f t="shared" si="9"/>
        <v>31220.640000000014</v>
      </c>
      <c r="U5" s="1">
        <f t="shared" si="10"/>
        <v>2600</v>
      </c>
      <c r="V5" s="1">
        <f t="shared" si="11"/>
        <v>10400</v>
      </c>
      <c r="W5" s="1">
        <f t="shared" si="12"/>
        <v>7200</v>
      </c>
      <c r="X5" s="1">
        <f>+W5-U5+Y5</f>
        <v>4600</v>
      </c>
      <c r="Y5" s="1">
        <f>IF(X4&lt;U4,$E$2,0)</f>
        <v>0</v>
      </c>
      <c r="AA5" s="1">
        <f t="shared" si="1"/>
        <v>76361.762807017556</v>
      </c>
      <c r="AC5" s="14"/>
      <c r="AD5" s="14"/>
      <c r="AE5" s="14"/>
      <c r="AF5" s="14"/>
      <c r="AG5" s="14"/>
    </row>
    <row r="6" spans="3:33" x14ac:dyDescent="0.25">
      <c r="C6" s="1" t="s">
        <v>19</v>
      </c>
      <c r="D6" s="1">
        <f>+'LED - skipta strax!'!D14</f>
        <v>50</v>
      </c>
      <c r="E6" s="1" t="s">
        <v>1</v>
      </c>
      <c r="J6" s="1">
        <v>5</v>
      </c>
      <c r="K6" s="1">
        <f t="shared" si="6"/>
        <v>0</v>
      </c>
      <c r="L6" s="1">
        <v>0</v>
      </c>
      <c r="M6" s="1">
        <f t="shared" si="7"/>
        <v>0</v>
      </c>
      <c r="N6" s="1">
        <f t="shared" si="2"/>
        <v>0</v>
      </c>
      <c r="O6" s="1">
        <f t="shared" si="3"/>
        <v>0</v>
      </c>
      <c r="P6" s="1">
        <f t="shared" si="8"/>
        <v>16930.160000000003</v>
      </c>
      <c r="R6" s="1">
        <f t="shared" si="4"/>
        <v>16930.160000000003</v>
      </c>
      <c r="S6" s="1">
        <f t="shared" si="9"/>
        <v>48150.800000000017</v>
      </c>
      <c r="U6" s="1">
        <f t="shared" si="10"/>
        <v>2600</v>
      </c>
      <c r="V6" s="1">
        <f t="shared" si="11"/>
        <v>13000</v>
      </c>
      <c r="W6" s="1">
        <f t="shared" si="12"/>
        <v>4600</v>
      </c>
      <c r="X6" s="1">
        <f>+W6-U6+Y6</f>
        <v>2000</v>
      </c>
      <c r="Y6" s="1">
        <f t="shared" ref="Y6:Y20" si="13">IF(X5&lt;U5,$E$2,0)</f>
        <v>0</v>
      </c>
      <c r="AA6" s="1">
        <f t="shared" si="1"/>
        <v>95452.203508771941</v>
      </c>
      <c r="AC6" s="14"/>
      <c r="AD6" s="14"/>
      <c r="AE6" s="14"/>
      <c r="AF6" s="14"/>
      <c r="AG6" s="14"/>
    </row>
    <row r="7" spans="3:33" x14ac:dyDescent="0.25">
      <c r="C7" s="1" t="s">
        <v>20</v>
      </c>
      <c r="D7" s="1">
        <f>+E2</f>
        <v>15000</v>
      </c>
      <c r="E7" s="1" t="s">
        <v>1</v>
      </c>
      <c r="J7" s="1">
        <v>6</v>
      </c>
      <c r="K7" s="1">
        <f t="shared" si="6"/>
        <v>3500</v>
      </c>
      <c r="L7" s="1">
        <v>0</v>
      </c>
      <c r="M7" s="1">
        <f t="shared" si="7"/>
        <v>3500</v>
      </c>
      <c r="N7" s="1">
        <f t="shared" si="2"/>
        <v>6000</v>
      </c>
      <c r="O7" s="1">
        <f t="shared" si="3"/>
        <v>8000</v>
      </c>
      <c r="P7" s="1">
        <f t="shared" si="8"/>
        <v>16930.160000000003</v>
      </c>
      <c r="R7" s="1">
        <f t="shared" si="4"/>
        <v>34430.160000000003</v>
      </c>
      <c r="S7" s="1">
        <f t="shared" si="9"/>
        <v>82580.960000000021</v>
      </c>
      <c r="U7" s="1">
        <f t="shared" si="10"/>
        <v>2600</v>
      </c>
      <c r="V7" s="1">
        <f t="shared" si="11"/>
        <v>15600</v>
      </c>
      <c r="W7" s="1">
        <f t="shared" si="12"/>
        <v>2000</v>
      </c>
      <c r="X7" s="1">
        <f>+W7-U7+Y7</f>
        <v>14400</v>
      </c>
      <c r="Y7" s="1">
        <f t="shared" si="13"/>
        <v>15000</v>
      </c>
      <c r="AA7" s="1">
        <f t="shared" si="1"/>
        <v>114542.64421052634</v>
      </c>
      <c r="AC7" s="14"/>
      <c r="AD7" s="14"/>
      <c r="AE7" s="14"/>
      <c r="AF7" s="14"/>
      <c r="AG7" s="14"/>
    </row>
    <row r="8" spans="3:33" x14ac:dyDescent="0.25">
      <c r="J8" s="1">
        <v>7</v>
      </c>
      <c r="K8" s="1">
        <f t="shared" si="6"/>
        <v>0</v>
      </c>
      <c r="L8" s="1">
        <v>0</v>
      </c>
      <c r="M8" s="1">
        <f t="shared" si="7"/>
        <v>0</v>
      </c>
      <c r="N8" s="1">
        <f t="shared" si="2"/>
        <v>0</v>
      </c>
      <c r="O8" s="1">
        <f t="shared" si="3"/>
        <v>0</v>
      </c>
      <c r="P8" s="1">
        <f t="shared" si="8"/>
        <v>16930.160000000003</v>
      </c>
      <c r="R8" s="1">
        <f t="shared" si="4"/>
        <v>16930.160000000003</v>
      </c>
      <c r="S8" s="1">
        <f t="shared" si="9"/>
        <v>99511.120000000024</v>
      </c>
      <c r="U8" s="1">
        <f t="shared" si="10"/>
        <v>2600</v>
      </c>
      <c r="V8" s="1">
        <f t="shared" si="11"/>
        <v>18200</v>
      </c>
      <c r="W8" s="1">
        <f t="shared" si="12"/>
        <v>14400</v>
      </c>
      <c r="X8" s="1">
        <f>+W8-U8+Y8</f>
        <v>11800</v>
      </c>
      <c r="Y8" s="1">
        <f t="shared" si="13"/>
        <v>0</v>
      </c>
      <c r="AA8" s="1">
        <f t="shared" si="1"/>
        <v>133633.08491228073</v>
      </c>
      <c r="AC8" s="14"/>
      <c r="AD8" s="14"/>
      <c r="AE8" s="14"/>
      <c r="AF8" s="14"/>
      <c r="AG8" s="14"/>
    </row>
    <row r="9" spans="3:33" x14ac:dyDescent="0.25">
      <c r="C9" s="1" t="s">
        <v>21</v>
      </c>
      <c r="D9" s="16">
        <f>'LED - skipta strax!'!D15</f>
        <v>14.600000000000001</v>
      </c>
      <c r="E9" s="1" t="s">
        <v>3</v>
      </c>
      <c r="J9" s="1">
        <v>8</v>
      </c>
      <c r="K9" s="1">
        <f t="shared" si="6"/>
        <v>0</v>
      </c>
      <c r="L9" s="1">
        <v>0</v>
      </c>
      <c r="M9" s="1">
        <f t="shared" si="7"/>
        <v>0</v>
      </c>
      <c r="N9" s="1">
        <f t="shared" si="2"/>
        <v>0</v>
      </c>
      <c r="O9" s="1">
        <f t="shared" si="3"/>
        <v>0</v>
      </c>
      <c r="P9" s="1">
        <f t="shared" si="8"/>
        <v>16930.160000000003</v>
      </c>
      <c r="R9" s="1">
        <f t="shared" si="4"/>
        <v>16930.160000000003</v>
      </c>
      <c r="S9" s="1">
        <f t="shared" si="9"/>
        <v>116441.28000000003</v>
      </c>
      <c r="U9" s="1">
        <f t="shared" si="10"/>
        <v>2600</v>
      </c>
      <c r="V9" s="1">
        <f t="shared" si="11"/>
        <v>20800</v>
      </c>
      <c r="W9" s="1">
        <f t="shared" si="12"/>
        <v>11800</v>
      </c>
      <c r="X9" s="1">
        <f t="shared" ref="X9:X20" si="14">+W9-U9+Y9</f>
        <v>9200</v>
      </c>
      <c r="Y9" s="1">
        <f t="shared" si="13"/>
        <v>0</v>
      </c>
      <c r="AA9" s="1">
        <f t="shared" si="1"/>
        <v>152723.52561403511</v>
      </c>
      <c r="AC9" s="14"/>
      <c r="AD9" s="14"/>
      <c r="AE9" s="14"/>
      <c r="AF9" s="14"/>
      <c r="AG9" s="14"/>
    </row>
    <row r="10" spans="3:33" x14ac:dyDescent="0.25">
      <c r="J10" s="1">
        <v>9</v>
      </c>
      <c r="K10" s="1">
        <f t="shared" si="6"/>
        <v>0</v>
      </c>
      <c r="L10" s="1">
        <v>0</v>
      </c>
      <c r="M10" s="1">
        <f t="shared" si="7"/>
        <v>0</v>
      </c>
      <c r="N10" s="1">
        <f t="shared" si="2"/>
        <v>0</v>
      </c>
      <c r="O10" s="1">
        <f t="shared" si="3"/>
        <v>0</v>
      </c>
      <c r="P10" s="1">
        <f t="shared" si="8"/>
        <v>16930.160000000003</v>
      </c>
      <c r="R10" s="1">
        <f t="shared" si="4"/>
        <v>16930.160000000003</v>
      </c>
      <c r="S10" s="1">
        <f t="shared" si="9"/>
        <v>133371.44000000003</v>
      </c>
      <c r="U10" s="1">
        <f t="shared" si="10"/>
        <v>2600</v>
      </c>
      <c r="V10" s="1">
        <f t="shared" si="11"/>
        <v>23400</v>
      </c>
      <c r="W10" s="1">
        <f t="shared" si="12"/>
        <v>9200</v>
      </c>
      <c r="X10" s="1">
        <f t="shared" si="14"/>
        <v>6600</v>
      </c>
      <c r="Y10" s="1">
        <f t="shared" si="13"/>
        <v>0</v>
      </c>
      <c r="AA10" s="1">
        <f t="shared" si="1"/>
        <v>171813.9663157895</v>
      </c>
      <c r="AC10" s="14"/>
      <c r="AD10" s="14"/>
      <c r="AE10" s="14"/>
      <c r="AF10" s="14"/>
      <c r="AG10" s="14"/>
    </row>
    <row r="11" spans="3:33" x14ac:dyDescent="0.25">
      <c r="C11" s="1" t="s">
        <v>37</v>
      </c>
      <c r="D11" s="1">
        <f>(F3-F2)*D5</f>
        <v>36500</v>
      </c>
      <c r="J11" s="1">
        <v>10</v>
      </c>
      <c r="K11" s="1">
        <f t="shared" si="6"/>
        <v>0</v>
      </c>
      <c r="L11" s="1">
        <v>0</v>
      </c>
      <c r="M11" s="1">
        <f t="shared" si="7"/>
        <v>0</v>
      </c>
      <c r="N11" s="1">
        <f t="shared" si="2"/>
        <v>0</v>
      </c>
      <c r="O11" s="1">
        <f t="shared" si="3"/>
        <v>0</v>
      </c>
      <c r="P11" s="1">
        <f t="shared" si="8"/>
        <v>16930.160000000003</v>
      </c>
      <c r="R11" s="1">
        <f t="shared" si="4"/>
        <v>16930.160000000003</v>
      </c>
      <c r="S11" s="57">
        <f t="shared" si="9"/>
        <v>150301.60000000003</v>
      </c>
      <c r="U11" s="1">
        <f t="shared" si="10"/>
        <v>2600</v>
      </c>
      <c r="V11" s="1">
        <f t="shared" si="11"/>
        <v>26000</v>
      </c>
      <c r="W11" s="1">
        <f t="shared" si="12"/>
        <v>6600</v>
      </c>
      <c r="X11" s="1">
        <f t="shared" si="14"/>
        <v>4000</v>
      </c>
      <c r="Y11" s="1">
        <f t="shared" si="13"/>
        <v>0</v>
      </c>
      <c r="AA11" s="1">
        <f t="shared" si="1"/>
        <v>190904.40701754388</v>
      </c>
      <c r="AC11" s="14"/>
      <c r="AD11" s="14"/>
      <c r="AE11" s="14"/>
      <c r="AF11" s="14"/>
      <c r="AG11" s="14"/>
    </row>
    <row r="12" spans="3:33" x14ac:dyDescent="0.25">
      <c r="J12" s="1">
        <v>11</v>
      </c>
      <c r="K12" s="1">
        <f t="shared" si="6"/>
        <v>0</v>
      </c>
      <c r="L12" s="1">
        <v>0</v>
      </c>
      <c r="M12" s="1">
        <f t="shared" si="7"/>
        <v>0</v>
      </c>
      <c r="N12" s="1">
        <f t="shared" si="2"/>
        <v>0</v>
      </c>
      <c r="O12" s="1">
        <f t="shared" si="3"/>
        <v>0</v>
      </c>
      <c r="P12" s="1">
        <f t="shared" si="8"/>
        <v>16930.160000000003</v>
      </c>
      <c r="R12" s="1">
        <f t="shared" si="4"/>
        <v>16930.160000000003</v>
      </c>
      <c r="S12" s="1">
        <f t="shared" si="9"/>
        <v>167231.76000000004</v>
      </c>
      <c r="U12" s="1">
        <f t="shared" si="10"/>
        <v>2600</v>
      </c>
      <c r="V12" s="1">
        <f t="shared" si="11"/>
        <v>28600</v>
      </c>
      <c r="W12" s="1">
        <f t="shared" si="12"/>
        <v>4000</v>
      </c>
      <c r="X12" s="1">
        <f t="shared" si="14"/>
        <v>1400</v>
      </c>
      <c r="Y12" s="1">
        <f t="shared" si="13"/>
        <v>0</v>
      </c>
      <c r="AA12" s="1">
        <f t="shared" si="1"/>
        <v>209994.84771929827</v>
      </c>
      <c r="AC12" s="14"/>
      <c r="AD12" s="14"/>
      <c r="AE12" s="14"/>
      <c r="AF12" s="14"/>
      <c r="AG12" s="14"/>
    </row>
    <row r="13" spans="3:33" x14ac:dyDescent="0.25">
      <c r="J13" s="1">
        <v>12</v>
      </c>
      <c r="K13" s="1">
        <f t="shared" si="6"/>
        <v>3500</v>
      </c>
      <c r="L13" s="1">
        <v>0</v>
      </c>
      <c r="M13" s="1">
        <f t="shared" si="7"/>
        <v>3500</v>
      </c>
      <c r="N13" s="1">
        <f t="shared" si="2"/>
        <v>6000</v>
      </c>
      <c r="O13" s="1">
        <f t="shared" si="3"/>
        <v>8000</v>
      </c>
      <c r="P13" s="1">
        <f t="shared" si="8"/>
        <v>16930.160000000003</v>
      </c>
      <c r="R13" s="1">
        <f t="shared" si="4"/>
        <v>34430.160000000003</v>
      </c>
      <c r="S13" s="1">
        <f t="shared" si="9"/>
        <v>201661.92000000004</v>
      </c>
      <c r="U13" s="1">
        <f t="shared" si="10"/>
        <v>2600</v>
      </c>
      <c r="V13" s="1">
        <f t="shared" si="11"/>
        <v>31200</v>
      </c>
      <c r="W13" s="1">
        <f t="shared" si="12"/>
        <v>1400</v>
      </c>
      <c r="X13" s="1">
        <f t="shared" si="14"/>
        <v>13800</v>
      </c>
      <c r="Y13" s="1">
        <f t="shared" si="13"/>
        <v>15000</v>
      </c>
      <c r="AA13" s="1">
        <f t="shared" si="1"/>
        <v>229085.28842105268</v>
      </c>
      <c r="AC13" s="14"/>
      <c r="AD13" s="14"/>
      <c r="AE13" s="14"/>
      <c r="AF13" s="14"/>
      <c r="AG13" s="14"/>
    </row>
    <row r="14" spans="3:33" x14ac:dyDescent="0.25">
      <c r="J14" s="1">
        <v>13</v>
      </c>
      <c r="K14" s="1">
        <f t="shared" si="6"/>
        <v>0</v>
      </c>
      <c r="L14" s="1">
        <v>0</v>
      </c>
      <c r="M14" s="1">
        <f t="shared" si="7"/>
        <v>0</v>
      </c>
      <c r="N14" s="1">
        <f t="shared" si="2"/>
        <v>0</v>
      </c>
      <c r="O14" s="1">
        <f t="shared" si="3"/>
        <v>0</v>
      </c>
      <c r="P14" s="1">
        <f t="shared" si="8"/>
        <v>16930.160000000003</v>
      </c>
      <c r="R14" s="1">
        <f t="shared" si="4"/>
        <v>16930.160000000003</v>
      </c>
      <c r="S14" s="1">
        <f t="shared" si="9"/>
        <v>218592.08000000005</v>
      </c>
      <c r="U14" s="1">
        <f t="shared" si="10"/>
        <v>2600</v>
      </c>
      <c r="V14" s="1">
        <f t="shared" si="11"/>
        <v>33800</v>
      </c>
      <c r="W14" s="1">
        <f t="shared" si="12"/>
        <v>13800</v>
      </c>
      <c r="X14" s="1">
        <f t="shared" si="14"/>
        <v>11200</v>
      </c>
      <c r="Y14" s="1">
        <f t="shared" si="13"/>
        <v>0</v>
      </c>
      <c r="AA14" s="1">
        <f t="shared" si="1"/>
        <v>248175.72912280707</v>
      </c>
      <c r="AC14" s="14"/>
      <c r="AD14" s="14"/>
      <c r="AE14" s="14"/>
      <c r="AF14" s="14"/>
      <c r="AG14" s="14"/>
    </row>
    <row r="15" spans="3:33" x14ac:dyDescent="0.25">
      <c r="C15" s="1" t="s">
        <v>24</v>
      </c>
      <c r="D15" s="1">
        <f>+D2-D3</f>
        <v>33</v>
      </c>
      <c r="E15" s="1" t="s">
        <v>0</v>
      </c>
      <c r="F15" s="3"/>
      <c r="J15" s="1">
        <v>14</v>
      </c>
      <c r="K15" s="1">
        <f t="shared" si="6"/>
        <v>0</v>
      </c>
      <c r="L15" s="1">
        <v>0</v>
      </c>
      <c r="M15" s="1">
        <f t="shared" si="7"/>
        <v>0</v>
      </c>
      <c r="N15" s="1">
        <f t="shared" si="2"/>
        <v>0</v>
      </c>
      <c r="O15" s="1">
        <f t="shared" si="3"/>
        <v>0</v>
      </c>
      <c r="P15" s="1">
        <f t="shared" si="8"/>
        <v>16930.160000000003</v>
      </c>
      <c r="R15" s="1">
        <f t="shared" si="4"/>
        <v>16930.160000000003</v>
      </c>
      <c r="S15" s="1">
        <f t="shared" si="9"/>
        <v>235522.24000000005</v>
      </c>
      <c r="U15" s="1">
        <f t="shared" si="10"/>
        <v>2600</v>
      </c>
      <c r="V15" s="1">
        <f t="shared" si="11"/>
        <v>36400</v>
      </c>
      <c r="W15" s="1">
        <f t="shared" si="12"/>
        <v>11200</v>
      </c>
      <c r="X15" s="1">
        <f t="shared" si="14"/>
        <v>8600</v>
      </c>
      <c r="Y15" s="1">
        <f t="shared" si="13"/>
        <v>0</v>
      </c>
      <c r="AA15" s="1">
        <f t="shared" si="1"/>
        <v>267266.16982456145</v>
      </c>
      <c r="AC15" s="14"/>
      <c r="AD15" s="14"/>
      <c r="AE15" s="14"/>
      <c r="AF15" s="14"/>
      <c r="AG15" s="14"/>
    </row>
    <row r="16" spans="3:33" x14ac:dyDescent="0.25">
      <c r="C16" s="1" t="s">
        <v>26</v>
      </c>
      <c r="D16" s="1">
        <f>+D2*0.2</f>
        <v>11.600000000000001</v>
      </c>
      <c r="E16" s="1" t="s">
        <v>0</v>
      </c>
      <c r="J16" s="1">
        <v>15</v>
      </c>
      <c r="K16" s="1">
        <f t="shared" si="6"/>
        <v>0</v>
      </c>
      <c r="L16" s="1">
        <v>0</v>
      </c>
      <c r="M16" s="1">
        <f t="shared" si="7"/>
        <v>0</v>
      </c>
      <c r="N16" s="1">
        <f t="shared" si="2"/>
        <v>0</v>
      </c>
      <c r="O16" s="1">
        <f t="shared" si="3"/>
        <v>0</v>
      </c>
      <c r="P16" s="1">
        <f t="shared" si="8"/>
        <v>16930.160000000003</v>
      </c>
      <c r="R16" s="1">
        <f t="shared" si="4"/>
        <v>16930.160000000003</v>
      </c>
      <c r="S16" s="1">
        <f t="shared" si="9"/>
        <v>252452.40000000005</v>
      </c>
      <c r="U16" s="1">
        <f t="shared" si="10"/>
        <v>2600</v>
      </c>
      <c r="V16" s="1">
        <f t="shared" si="11"/>
        <v>39000</v>
      </c>
      <c r="W16" s="1">
        <f t="shared" si="12"/>
        <v>8600</v>
      </c>
      <c r="X16" s="1">
        <f t="shared" si="14"/>
        <v>6000</v>
      </c>
      <c r="Y16" s="1">
        <f t="shared" si="13"/>
        <v>0</v>
      </c>
      <c r="AA16" s="1">
        <f t="shared" si="1"/>
        <v>286356.61052631581</v>
      </c>
      <c r="AC16" s="14"/>
      <c r="AD16" s="14"/>
      <c r="AE16" s="14"/>
      <c r="AF16" s="14"/>
      <c r="AG16" s="14"/>
    </row>
    <row r="17" spans="3:33" x14ac:dyDescent="0.25">
      <c r="C17" s="1" t="s">
        <v>25</v>
      </c>
      <c r="D17" s="1">
        <f>+D16+D15</f>
        <v>44.6</v>
      </c>
      <c r="E17" s="1" t="s">
        <v>0</v>
      </c>
      <c r="J17" s="1">
        <v>16</v>
      </c>
      <c r="K17" s="1">
        <f t="shared" si="6"/>
        <v>0</v>
      </c>
      <c r="L17" s="1">
        <v>0</v>
      </c>
      <c r="M17" s="1">
        <f t="shared" si="7"/>
        <v>0</v>
      </c>
      <c r="N17" s="1">
        <f t="shared" si="2"/>
        <v>0</v>
      </c>
      <c r="O17" s="1">
        <f t="shared" si="3"/>
        <v>0</v>
      </c>
      <c r="P17" s="1">
        <f t="shared" si="8"/>
        <v>16930.160000000003</v>
      </c>
      <c r="R17" s="1">
        <f t="shared" si="4"/>
        <v>16930.160000000003</v>
      </c>
      <c r="S17" s="1">
        <f t="shared" si="9"/>
        <v>269382.56000000006</v>
      </c>
      <c r="U17" s="1">
        <f t="shared" si="10"/>
        <v>2600</v>
      </c>
      <c r="V17" s="1">
        <f t="shared" si="11"/>
        <v>41600</v>
      </c>
      <c r="W17" s="1">
        <f t="shared" si="12"/>
        <v>6000</v>
      </c>
      <c r="X17" s="1">
        <f t="shared" si="14"/>
        <v>3400</v>
      </c>
      <c r="Y17" s="1">
        <f t="shared" si="13"/>
        <v>0</v>
      </c>
      <c r="AA17" s="1">
        <f t="shared" si="1"/>
        <v>305447.05122807022</v>
      </c>
      <c r="AC17" s="14"/>
      <c r="AD17" s="14"/>
      <c r="AE17" s="14"/>
      <c r="AF17" s="14"/>
      <c r="AG17" s="14"/>
    </row>
    <row r="18" spans="3:33" x14ac:dyDescent="0.25">
      <c r="C18" s="1" t="s">
        <v>27</v>
      </c>
      <c r="D18" s="4">
        <f>+D17/1000</f>
        <v>4.4600000000000001E-2</v>
      </c>
      <c r="E18" s="1" t="s">
        <v>7</v>
      </c>
      <c r="J18" s="1">
        <v>17</v>
      </c>
      <c r="K18" s="1">
        <f t="shared" si="6"/>
        <v>0</v>
      </c>
      <c r="L18" s="1">
        <v>0</v>
      </c>
      <c r="M18" s="1">
        <f t="shared" si="7"/>
        <v>0</v>
      </c>
      <c r="N18" s="1">
        <f t="shared" si="2"/>
        <v>0</v>
      </c>
      <c r="O18" s="1">
        <f t="shared" si="3"/>
        <v>0</v>
      </c>
      <c r="P18" s="1">
        <f t="shared" si="8"/>
        <v>16930.160000000003</v>
      </c>
      <c r="R18" s="1">
        <f t="shared" si="4"/>
        <v>16930.160000000003</v>
      </c>
      <c r="S18" s="1">
        <f t="shared" si="9"/>
        <v>286312.72000000009</v>
      </c>
      <c r="U18" s="1">
        <f t="shared" si="10"/>
        <v>2600</v>
      </c>
      <c r="V18" s="1">
        <f t="shared" si="11"/>
        <v>44200</v>
      </c>
      <c r="W18" s="1">
        <f t="shared" si="12"/>
        <v>3400</v>
      </c>
      <c r="X18" s="1">
        <f t="shared" si="14"/>
        <v>800</v>
      </c>
      <c r="Y18" s="1">
        <f t="shared" si="13"/>
        <v>0</v>
      </c>
      <c r="AA18" s="1">
        <f t="shared" si="1"/>
        <v>324537.49192982464</v>
      </c>
      <c r="AC18" s="14"/>
      <c r="AD18" s="14"/>
      <c r="AE18" s="14"/>
      <c r="AF18" s="14"/>
      <c r="AG18" s="14"/>
    </row>
    <row r="19" spans="3:33" x14ac:dyDescent="0.25">
      <c r="C19" s="1" t="s">
        <v>28</v>
      </c>
      <c r="D19" s="4">
        <f>+D18*D5</f>
        <v>0.44600000000000001</v>
      </c>
      <c r="E19" s="1" t="s">
        <v>7</v>
      </c>
      <c r="J19" s="1">
        <v>18</v>
      </c>
      <c r="K19" s="1">
        <f t="shared" si="6"/>
        <v>3500</v>
      </c>
      <c r="L19" s="1">
        <v>0</v>
      </c>
      <c r="M19" s="1">
        <f t="shared" si="7"/>
        <v>3500</v>
      </c>
      <c r="N19" s="1">
        <f t="shared" si="2"/>
        <v>6000</v>
      </c>
      <c r="O19" s="1">
        <f t="shared" si="3"/>
        <v>8000</v>
      </c>
      <c r="P19" s="1">
        <f t="shared" si="8"/>
        <v>16930.160000000003</v>
      </c>
      <c r="R19" s="1">
        <f t="shared" si="4"/>
        <v>34430.160000000003</v>
      </c>
      <c r="S19" s="1">
        <f t="shared" si="9"/>
        <v>320742.88000000012</v>
      </c>
      <c r="U19" s="1">
        <f t="shared" si="10"/>
        <v>2600</v>
      </c>
      <c r="V19" s="1">
        <f t="shared" si="11"/>
        <v>46800</v>
      </c>
      <c r="W19" s="1">
        <f t="shared" si="12"/>
        <v>800</v>
      </c>
      <c r="X19" s="1">
        <f t="shared" si="14"/>
        <v>13200</v>
      </c>
      <c r="Y19" s="1">
        <f t="shared" si="13"/>
        <v>15000</v>
      </c>
      <c r="AA19" s="1">
        <f t="shared" si="1"/>
        <v>343627.93263157899</v>
      </c>
      <c r="AC19" s="14"/>
      <c r="AD19" s="14"/>
      <c r="AE19" s="14"/>
      <c r="AF19" s="14"/>
      <c r="AG19" s="14"/>
    </row>
    <row r="20" spans="3:33" x14ac:dyDescent="0.25">
      <c r="J20" s="1">
        <v>19</v>
      </c>
      <c r="K20" s="1">
        <f t="shared" si="6"/>
        <v>0</v>
      </c>
      <c r="L20" s="1">
        <v>0</v>
      </c>
      <c r="M20" s="1">
        <f t="shared" si="7"/>
        <v>0</v>
      </c>
      <c r="N20" s="1">
        <f t="shared" si="2"/>
        <v>0</v>
      </c>
      <c r="O20" s="1">
        <f t="shared" si="3"/>
        <v>0</v>
      </c>
      <c r="P20" s="1">
        <f t="shared" si="8"/>
        <v>16930.160000000003</v>
      </c>
      <c r="R20" s="1">
        <f t="shared" si="4"/>
        <v>16930.160000000003</v>
      </c>
      <c r="S20" s="1">
        <f t="shared" si="9"/>
        <v>337673.04000000015</v>
      </c>
      <c r="U20" s="1">
        <f t="shared" si="10"/>
        <v>2600</v>
      </c>
      <c r="V20" s="1">
        <f t="shared" si="11"/>
        <v>49400</v>
      </c>
      <c r="W20" s="1">
        <f t="shared" si="12"/>
        <v>13200</v>
      </c>
      <c r="X20" s="1">
        <f t="shared" si="14"/>
        <v>10600</v>
      </c>
      <c r="Y20" s="1">
        <f t="shared" si="13"/>
        <v>0</v>
      </c>
      <c r="AA20" s="1">
        <f t="shared" si="1"/>
        <v>362718.37333333341</v>
      </c>
      <c r="AC20" s="14"/>
      <c r="AD20" s="14"/>
      <c r="AE20" s="14"/>
      <c r="AF20" s="14"/>
      <c r="AG20" s="14"/>
    </row>
    <row r="21" spans="3:33" x14ac:dyDescent="0.25">
      <c r="C21" s="1" t="s">
        <v>29</v>
      </c>
      <c r="D21" s="1">
        <f>+D19*D6*52</f>
        <v>1159.6000000000001</v>
      </c>
      <c r="E21" s="1" t="s">
        <v>8</v>
      </c>
      <c r="AC21" s="14"/>
      <c r="AD21" s="14"/>
      <c r="AE21" s="14"/>
      <c r="AF21" s="14"/>
      <c r="AG21" s="14"/>
    </row>
    <row r="22" spans="3:33" x14ac:dyDescent="0.25">
      <c r="C22" s="5" t="s">
        <v>9</v>
      </c>
      <c r="D22" s="19">
        <f>+D21*D9</f>
        <v>16930.160000000003</v>
      </c>
      <c r="E22" s="5" t="s">
        <v>10</v>
      </c>
      <c r="K22" s="1">
        <f>SUM(K2:K21)</f>
        <v>14000</v>
      </c>
      <c r="L22" s="1">
        <f>SUM(L2:L21)</f>
        <v>40000</v>
      </c>
      <c r="M22" s="1">
        <f t="shared" ref="M22:P22" si="15">SUM(M2:M21)</f>
        <v>-26000</v>
      </c>
      <c r="N22" s="1">
        <f t="shared" si="15"/>
        <v>18000</v>
      </c>
      <c r="O22" s="1">
        <f t="shared" si="15"/>
        <v>24000</v>
      </c>
      <c r="P22" s="1">
        <f t="shared" si="15"/>
        <v>321673.04000000015</v>
      </c>
      <c r="R22" s="1">
        <f t="shared" ref="R22:S22" si="16">SUM(R2:R21)</f>
        <v>337673.04000000015</v>
      </c>
      <c r="S22" s="1">
        <f t="shared" si="16"/>
        <v>2943230.4000000004</v>
      </c>
      <c r="AC22" s="14"/>
      <c r="AD22" s="14"/>
      <c r="AE22" s="14"/>
      <c r="AF22" s="14"/>
      <c r="AG22" s="14"/>
    </row>
    <row r="23" spans="3:33" x14ac:dyDescent="0.25">
      <c r="R23" s="1">
        <f>AVERAGE(R2:R20)</f>
        <v>17772.265263157904</v>
      </c>
      <c r="AC23" s="14"/>
      <c r="AD23" s="14"/>
      <c r="AE23" s="14"/>
      <c r="AF23" s="14"/>
      <c r="AG23" s="14"/>
    </row>
    <row r="24" spans="3:33" x14ac:dyDescent="0.25">
      <c r="O24" s="1">
        <f>+O22+N22+M22</f>
        <v>16000</v>
      </c>
      <c r="P24" s="1">
        <f>+P22+N22+O22</f>
        <v>363673.04000000015</v>
      </c>
    </row>
    <row r="25" spans="3:33" x14ac:dyDescent="0.25">
      <c r="C25" s="1" t="s">
        <v>30</v>
      </c>
      <c r="D25" s="1">
        <v>6000</v>
      </c>
      <c r="E25" s="1" t="s">
        <v>31</v>
      </c>
      <c r="O25" s="1">
        <f>+O24/J20</f>
        <v>842.10526315789468</v>
      </c>
      <c r="P25" s="1">
        <f>+P24/19</f>
        <v>19140.68631578948</v>
      </c>
    </row>
    <row r="26" spans="3:33" x14ac:dyDescent="0.25">
      <c r="C26" s="1" t="s">
        <v>11</v>
      </c>
      <c r="D26" s="1">
        <v>8</v>
      </c>
      <c r="E26" s="1" t="s">
        <v>12</v>
      </c>
    </row>
    <row r="27" spans="3:33" x14ac:dyDescent="0.25">
      <c r="C27" s="1" t="s">
        <v>13</v>
      </c>
      <c r="D27" s="1">
        <f>+D26*D5</f>
        <v>80</v>
      </c>
      <c r="E27" s="1" t="s">
        <v>12</v>
      </c>
      <c r="F27" s="14"/>
      <c r="G27" s="14"/>
    </row>
    <row r="28" spans="3:33" x14ac:dyDescent="0.25">
      <c r="C28" s="1" t="s">
        <v>33</v>
      </c>
      <c r="D28" s="1">
        <f>+D25/60*D27</f>
        <v>8000</v>
      </c>
      <c r="E28" s="1" t="s">
        <v>10</v>
      </c>
      <c r="F28" s="14"/>
      <c r="G28" s="14"/>
    </row>
    <row r="29" spans="3:33" x14ac:dyDescent="0.25">
      <c r="C29" s="1" t="s">
        <v>71</v>
      </c>
      <c r="D29" s="1">
        <f>N22/19*D5*D40</f>
        <v>7578.9473684210525</v>
      </c>
      <c r="E29" s="1" t="s">
        <v>10</v>
      </c>
      <c r="F29" s="14"/>
      <c r="G29" s="14"/>
      <c r="J29" s="6" t="s">
        <v>16</v>
      </c>
      <c r="K29" s="6" t="s">
        <v>38</v>
      </c>
      <c r="L29" s="6" t="s">
        <v>39</v>
      </c>
      <c r="M29" s="1" t="s">
        <v>51</v>
      </c>
      <c r="N29" s="6" t="s">
        <v>43</v>
      </c>
      <c r="R29" s="6" t="s">
        <v>55</v>
      </c>
      <c r="S29" s="6" t="s">
        <v>15</v>
      </c>
      <c r="T29" s="6" t="s">
        <v>45</v>
      </c>
    </row>
    <row r="30" spans="3:33" x14ac:dyDescent="0.25">
      <c r="C30" s="1" t="s">
        <v>32</v>
      </c>
      <c r="D30" s="3">
        <f>+E2/D6/52</f>
        <v>5.7692307692307692</v>
      </c>
      <c r="E30" s="1" t="s">
        <v>2</v>
      </c>
      <c r="F30" s="14"/>
      <c r="G30" s="14"/>
      <c r="J30" s="1">
        <v>1</v>
      </c>
      <c r="K30" s="1">
        <f>+K2</f>
        <v>3500</v>
      </c>
      <c r="L30" s="1">
        <f>+L2</f>
        <v>40000</v>
      </c>
      <c r="M30" s="1">
        <f>+N2+O2</f>
        <v>0</v>
      </c>
      <c r="N30" s="1">
        <v>669.76</v>
      </c>
      <c r="R30" s="1">
        <v>1</v>
      </c>
      <c r="S30" s="1">
        <f>+R2</f>
        <v>-19569.839999999997</v>
      </c>
      <c r="T30" s="1">
        <f>+S2</f>
        <v>-19569.839999999997</v>
      </c>
    </row>
    <row r="31" spans="3:33" x14ac:dyDescent="0.25">
      <c r="C31" s="5" t="s">
        <v>35</v>
      </c>
      <c r="D31" s="19">
        <f>(D28+D29)/D30*D40</f>
        <v>2160.2807017543864</v>
      </c>
      <c r="E31" s="5" t="s">
        <v>34</v>
      </c>
      <c r="F31" s="17"/>
      <c r="G31" s="14"/>
      <c r="J31" s="1">
        <v>2</v>
      </c>
      <c r="K31" s="1">
        <f t="shared" ref="K31:L31" si="17">+K3</f>
        <v>0</v>
      </c>
      <c r="L31" s="1">
        <f t="shared" si="17"/>
        <v>0</v>
      </c>
      <c r="M31" s="1">
        <f t="shared" ref="M31:M48" si="18">+N3+O3</f>
        <v>0</v>
      </c>
      <c r="N31" s="1">
        <v>669.76</v>
      </c>
      <c r="R31" s="1">
        <v>2</v>
      </c>
      <c r="S31" s="1">
        <f t="shared" ref="S31:T31" si="19">+R3</f>
        <v>16930.160000000003</v>
      </c>
      <c r="T31" s="1">
        <f t="shared" si="19"/>
        <v>-2639.679999999993</v>
      </c>
    </row>
    <row r="32" spans="3:33" x14ac:dyDescent="0.25">
      <c r="C32" s="5"/>
      <c r="D32" s="5"/>
      <c r="E32" s="5"/>
      <c r="F32" s="14"/>
      <c r="G32" s="14"/>
      <c r="J32" s="1">
        <v>3</v>
      </c>
      <c r="K32" s="1">
        <f t="shared" ref="K32:L32" si="20">+K4</f>
        <v>0</v>
      </c>
      <c r="L32" s="1">
        <f t="shared" si="20"/>
        <v>0</v>
      </c>
      <c r="M32" s="1">
        <f t="shared" si="18"/>
        <v>0</v>
      </c>
      <c r="N32" s="1">
        <v>669.76</v>
      </c>
      <c r="R32" s="1">
        <v>3</v>
      </c>
      <c r="S32" s="1">
        <f t="shared" ref="S32:T32" si="21">+R4</f>
        <v>16930.160000000003</v>
      </c>
      <c r="T32" s="1">
        <f t="shared" si="21"/>
        <v>14290.48000000001</v>
      </c>
    </row>
    <row r="33" spans="3:20" x14ac:dyDescent="0.25">
      <c r="C33" s="21" t="s">
        <v>78</v>
      </c>
      <c r="D33" s="22">
        <f>IF(D5&lt;4,1,0)</f>
        <v>0</v>
      </c>
      <c r="E33" s="5"/>
      <c r="F33" s="14"/>
      <c r="G33" s="14"/>
      <c r="J33" s="1">
        <v>4</v>
      </c>
      <c r="K33" s="1">
        <f t="shared" ref="K33:L33" si="22">+K5</f>
        <v>0</v>
      </c>
      <c r="L33" s="1">
        <f t="shared" si="22"/>
        <v>0</v>
      </c>
      <c r="M33" s="1">
        <f t="shared" si="18"/>
        <v>0</v>
      </c>
      <c r="N33" s="1">
        <v>669.76</v>
      </c>
      <c r="R33" s="1">
        <v>4</v>
      </c>
      <c r="S33" s="1">
        <f t="shared" ref="S33:T33" si="23">+R5</f>
        <v>16930.160000000003</v>
      </c>
      <c r="T33" s="1">
        <f t="shared" si="23"/>
        <v>31220.640000000014</v>
      </c>
    </row>
    <row r="34" spans="3:20" x14ac:dyDescent="0.25">
      <c r="C34" s="21" t="s">
        <v>79</v>
      </c>
      <c r="D34" s="22">
        <f>IF($D$5&lt;9,IF($D$5&gt;3,0.95,0),0)</f>
        <v>0</v>
      </c>
      <c r="E34" s="5"/>
      <c r="F34" s="14"/>
      <c r="G34" s="14"/>
      <c r="J34" s="1">
        <v>5</v>
      </c>
      <c r="K34" s="1">
        <f t="shared" ref="K34:L34" si="24">+K6</f>
        <v>0</v>
      </c>
      <c r="L34" s="1">
        <f t="shared" si="24"/>
        <v>0</v>
      </c>
      <c r="M34" s="1">
        <f t="shared" si="18"/>
        <v>0</v>
      </c>
      <c r="N34" s="1">
        <v>669.76</v>
      </c>
      <c r="R34" s="1">
        <v>5</v>
      </c>
      <c r="S34" s="1">
        <f t="shared" ref="S34:T34" si="25">+R6</f>
        <v>16930.160000000003</v>
      </c>
      <c r="T34" s="1">
        <f t="shared" si="25"/>
        <v>48150.800000000017</v>
      </c>
    </row>
    <row r="35" spans="3:20" x14ac:dyDescent="0.25">
      <c r="C35" s="21" t="s">
        <v>73</v>
      </c>
      <c r="D35" s="22">
        <f>IF($D$5&lt;13,IF($D$5&gt;8,0.8,0),0)</f>
        <v>0.8</v>
      </c>
      <c r="E35" s="5"/>
      <c r="F35" s="14"/>
      <c r="G35" s="14"/>
      <c r="J35" s="1">
        <v>6</v>
      </c>
      <c r="K35" s="1">
        <f t="shared" ref="K35:L35" si="26">+K7</f>
        <v>3500</v>
      </c>
      <c r="L35" s="1">
        <f t="shared" si="26"/>
        <v>0</v>
      </c>
      <c r="M35" s="1">
        <f t="shared" si="18"/>
        <v>14000</v>
      </c>
      <c r="N35" s="1">
        <v>669.76</v>
      </c>
      <c r="R35" s="1">
        <v>6</v>
      </c>
      <c r="S35" s="1">
        <f t="shared" ref="S35:T35" si="27">+R7</f>
        <v>34430.160000000003</v>
      </c>
      <c r="T35" s="1">
        <f t="shared" si="27"/>
        <v>82580.960000000021</v>
      </c>
    </row>
    <row r="36" spans="3:20" x14ac:dyDescent="0.25">
      <c r="C36" s="21" t="s">
        <v>74</v>
      </c>
      <c r="D36" s="22">
        <f>IF($D$5&lt;20,IF($D$5&gt;12,0.7,0),0)</f>
        <v>0</v>
      </c>
      <c r="E36" s="5"/>
      <c r="F36" s="14"/>
      <c r="G36" s="14"/>
      <c r="J36" s="1">
        <v>7</v>
      </c>
      <c r="K36" s="1">
        <f t="shared" ref="K36:L36" si="28">+K8</f>
        <v>0</v>
      </c>
      <c r="L36" s="1">
        <f t="shared" si="28"/>
        <v>0</v>
      </c>
      <c r="M36" s="1">
        <f t="shared" si="18"/>
        <v>0</v>
      </c>
      <c r="N36" s="1">
        <v>669.76</v>
      </c>
      <c r="R36" s="1">
        <v>7</v>
      </c>
      <c r="S36" s="1">
        <f t="shared" ref="S36:T36" si="29">+R8</f>
        <v>16930.160000000003</v>
      </c>
      <c r="T36" s="1">
        <f t="shared" si="29"/>
        <v>99511.120000000024</v>
      </c>
    </row>
    <row r="37" spans="3:20" x14ac:dyDescent="0.25">
      <c r="C37" s="21" t="s">
        <v>75</v>
      </c>
      <c r="D37" s="22">
        <f>IF($D$5&lt;80,IF($D$5&gt;19,0.6,0),0)</f>
        <v>0</v>
      </c>
      <c r="E37" s="5"/>
      <c r="F37" s="14"/>
      <c r="G37" s="14"/>
      <c r="J37" s="1">
        <v>8</v>
      </c>
      <c r="K37" s="1">
        <f t="shared" ref="K37:L37" si="30">+K9</f>
        <v>0</v>
      </c>
      <c r="L37" s="1">
        <f t="shared" si="30"/>
        <v>0</v>
      </c>
      <c r="M37" s="1">
        <f t="shared" si="18"/>
        <v>0</v>
      </c>
      <c r="N37" s="1">
        <v>669.76</v>
      </c>
      <c r="R37" s="1">
        <v>8</v>
      </c>
      <c r="S37" s="1">
        <f t="shared" ref="S37:T37" si="31">+R9</f>
        <v>16930.160000000003</v>
      </c>
      <c r="T37" s="1">
        <f t="shared" si="31"/>
        <v>116441.28000000003</v>
      </c>
    </row>
    <row r="38" spans="3:20" x14ac:dyDescent="0.25">
      <c r="C38" s="21" t="s">
        <v>76</v>
      </c>
      <c r="D38" s="22">
        <f>IF($D$5&lt;201,IF($D$5&gt;79,0.58,0),0)</f>
        <v>0</v>
      </c>
      <c r="E38" s="5"/>
      <c r="F38" s="14"/>
      <c r="G38" s="14"/>
      <c r="J38" s="1">
        <v>9</v>
      </c>
      <c r="K38" s="1">
        <f t="shared" ref="K38:L38" si="32">+K10</f>
        <v>0</v>
      </c>
      <c r="L38" s="1">
        <f t="shared" si="32"/>
        <v>0</v>
      </c>
      <c r="M38" s="1">
        <f t="shared" si="18"/>
        <v>0</v>
      </c>
      <c r="N38" s="1">
        <v>669.76</v>
      </c>
      <c r="R38" s="1">
        <v>9</v>
      </c>
      <c r="S38" s="1">
        <f t="shared" ref="S38:T38" si="33">+R10</f>
        <v>16930.160000000003</v>
      </c>
      <c r="T38" s="1">
        <f t="shared" si="33"/>
        <v>133371.44000000003</v>
      </c>
    </row>
    <row r="39" spans="3:20" x14ac:dyDescent="0.25">
      <c r="C39" s="1" t="s">
        <v>77</v>
      </c>
      <c r="D39" s="2">
        <f>IF(D5&gt;200,0.575,0)</f>
        <v>0</v>
      </c>
      <c r="F39" s="18"/>
      <c r="G39" s="14"/>
      <c r="J39" s="1">
        <v>10</v>
      </c>
      <c r="K39" s="1">
        <f t="shared" ref="K39:L39" si="34">+K11</f>
        <v>0</v>
      </c>
      <c r="L39" s="1">
        <f t="shared" si="34"/>
        <v>0</v>
      </c>
      <c r="M39" s="1">
        <f t="shared" si="18"/>
        <v>0</v>
      </c>
      <c r="N39" s="1">
        <v>669.76</v>
      </c>
      <c r="R39" s="1">
        <v>10</v>
      </c>
      <c r="S39" s="1">
        <f t="shared" ref="S39:T39" si="35">+R11</f>
        <v>16930.160000000003</v>
      </c>
      <c r="T39" s="1">
        <f t="shared" si="35"/>
        <v>150301.60000000003</v>
      </c>
    </row>
    <row r="40" spans="3:20" x14ac:dyDescent="0.25">
      <c r="C40" s="5" t="s">
        <v>72</v>
      </c>
      <c r="D40" s="20">
        <f>SUM(D33:D39)</f>
        <v>0.8</v>
      </c>
      <c r="F40" s="14"/>
      <c r="G40" s="14"/>
      <c r="J40" s="1">
        <v>11</v>
      </c>
      <c r="K40" s="1">
        <f t="shared" ref="K40:L40" si="36">+K12</f>
        <v>0</v>
      </c>
      <c r="L40" s="1">
        <f t="shared" si="36"/>
        <v>0</v>
      </c>
      <c r="M40" s="1">
        <f t="shared" si="18"/>
        <v>0</v>
      </c>
      <c r="N40" s="1">
        <v>669.76</v>
      </c>
      <c r="R40" s="1">
        <v>11</v>
      </c>
      <c r="S40" s="1">
        <f t="shared" ref="S40:T40" si="37">+R12</f>
        <v>16930.160000000003</v>
      </c>
      <c r="T40" s="1">
        <f t="shared" si="37"/>
        <v>167231.76000000004</v>
      </c>
    </row>
    <row r="41" spans="3:20" x14ac:dyDescent="0.25">
      <c r="J41" s="1">
        <v>12</v>
      </c>
      <c r="K41" s="1">
        <f t="shared" ref="K41:L41" si="38">+K13</f>
        <v>3500</v>
      </c>
      <c r="L41" s="1">
        <f t="shared" si="38"/>
        <v>0</v>
      </c>
      <c r="M41" s="1">
        <f t="shared" si="18"/>
        <v>14000</v>
      </c>
      <c r="N41" s="1">
        <v>669.76</v>
      </c>
      <c r="R41" s="1">
        <v>12</v>
      </c>
      <c r="S41" s="1">
        <f t="shared" ref="S41:T41" si="39">+R13</f>
        <v>34430.160000000003</v>
      </c>
      <c r="T41" s="1">
        <f t="shared" si="39"/>
        <v>201661.92000000004</v>
      </c>
    </row>
    <row r="42" spans="3:20" x14ac:dyDescent="0.25">
      <c r="C42" s="5" t="s">
        <v>46</v>
      </c>
      <c r="D42" s="19">
        <f>+D31+D22</f>
        <v>19090.440701754389</v>
      </c>
      <c r="J42" s="1">
        <v>13</v>
      </c>
      <c r="K42" s="1">
        <f t="shared" ref="K42:L42" si="40">+K14</f>
        <v>0</v>
      </c>
      <c r="L42" s="1">
        <f t="shared" si="40"/>
        <v>0</v>
      </c>
      <c r="M42" s="1">
        <f t="shared" si="18"/>
        <v>0</v>
      </c>
      <c r="N42" s="1">
        <v>669.76</v>
      </c>
      <c r="R42" s="1">
        <v>13</v>
      </c>
      <c r="S42" s="1">
        <f t="shared" ref="S42:T42" si="41">+R14</f>
        <v>16930.160000000003</v>
      </c>
      <c r="T42" s="1">
        <f t="shared" si="41"/>
        <v>218592.08000000005</v>
      </c>
    </row>
    <row r="43" spans="3:20" x14ac:dyDescent="0.25">
      <c r="J43" s="1">
        <v>14</v>
      </c>
      <c r="K43" s="1">
        <f t="shared" ref="K43:L43" si="42">+K15</f>
        <v>0</v>
      </c>
      <c r="L43" s="1">
        <f t="shared" si="42"/>
        <v>0</v>
      </c>
      <c r="M43" s="1">
        <f t="shared" si="18"/>
        <v>0</v>
      </c>
      <c r="N43" s="1">
        <v>669.76</v>
      </c>
      <c r="R43" s="1">
        <v>14</v>
      </c>
      <c r="S43" s="1">
        <f t="shared" ref="S43:T43" si="43">+R15</f>
        <v>16930.160000000003</v>
      </c>
      <c r="T43" s="1">
        <f t="shared" si="43"/>
        <v>235522.24000000005</v>
      </c>
    </row>
    <row r="44" spans="3:20" x14ac:dyDescent="0.25">
      <c r="C44" s="1" t="s">
        <v>52</v>
      </c>
      <c r="D44" s="1">
        <f>+(L22-K22)/19</f>
        <v>1368.421052631579</v>
      </c>
      <c r="J44" s="1">
        <v>15</v>
      </c>
      <c r="K44" s="1">
        <f t="shared" ref="K44:L44" si="44">+K16</f>
        <v>0</v>
      </c>
      <c r="L44" s="1">
        <f t="shared" si="44"/>
        <v>0</v>
      </c>
      <c r="M44" s="1">
        <f t="shared" si="18"/>
        <v>0</v>
      </c>
      <c r="N44" s="1">
        <v>669.76</v>
      </c>
      <c r="R44" s="1">
        <v>15</v>
      </c>
      <c r="S44" s="1">
        <f t="shared" ref="S44:T44" si="45">+R16</f>
        <v>16930.160000000003</v>
      </c>
      <c r="T44" s="1">
        <f t="shared" si="45"/>
        <v>252452.40000000005</v>
      </c>
    </row>
    <row r="45" spans="3:20" x14ac:dyDescent="0.25">
      <c r="C45" s="1" t="s">
        <v>14</v>
      </c>
      <c r="D45" s="1">
        <f>+D42-D44</f>
        <v>17722.019649122809</v>
      </c>
      <c r="J45" s="1">
        <v>16</v>
      </c>
      <c r="K45" s="1">
        <f t="shared" ref="K45:L45" si="46">+K17</f>
        <v>0</v>
      </c>
      <c r="L45" s="1">
        <f t="shared" si="46"/>
        <v>0</v>
      </c>
      <c r="M45" s="1">
        <f t="shared" si="18"/>
        <v>0</v>
      </c>
      <c r="N45" s="1">
        <v>669.76</v>
      </c>
      <c r="R45" s="1">
        <v>16</v>
      </c>
      <c r="S45" s="1">
        <f t="shared" ref="S45:T45" si="47">+R17</f>
        <v>16930.160000000003</v>
      </c>
      <c r="T45" s="1">
        <f t="shared" si="47"/>
        <v>269382.56000000006</v>
      </c>
    </row>
    <row r="46" spans="3:20" x14ac:dyDescent="0.25">
      <c r="J46" s="1">
        <v>17</v>
      </c>
      <c r="K46" s="1">
        <f t="shared" ref="K46:L46" si="48">+K18</f>
        <v>0</v>
      </c>
      <c r="L46" s="1">
        <f t="shared" si="48"/>
        <v>0</v>
      </c>
      <c r="M46" s="1">
        <f t="shared" si="18"/>
        <v>0</v>
      </c>
      <c r="N46" s="1">
        <v>669.76</v>
      </c>
      <c r="R46" s="1">
        <v>17</v>
      </c>
      <c r="S46" s="1">
        <f t="shared" ref="S46:T46" si="49">+R18</f>
        <v>16930.160000000003</v>
      </c>
      <c r="T46" s="1">
        <f t="shared" si="49"/>
        <v>286312.72000000009</v>
      </c>
    </row>
    <row r="47" spans="3:20" x14ac:dyDescent="0.25">
      <c r="C47" s="1" t="s">
        <v>53</v>
      </c>
      <c r="D47" s="15">
        <f>+D11/D42</f>
        <v>1.9119516710080817</v>
      </c>
      <c r="J47" s="1">
        <v>18</v>
      </c>
      <c r="K47" s="1">
        <f t="shared" ref="K47:L47" si="50">+K19</f>
        <v>3500</v>
      </c>
      <c r="L47" s="1">
        <f t="shared" si="50"/>
        <v>0</v>
      </c>
      <c r="M47" s="1">
        <f t="shared" si="18"/>
        <v>14000</v>
      </c>
      <c r="N47" s="1">
        <v>669.76</v>
      </c>
      <c r="R47" s="1">
        <v>18</v>
      </c>
      <c r="S47" s="1">
        <f t="shared" ref="S47:T47" si="51">+R19</f>
        <v>34430.160000000003</v>
      </c>
      <c r="T47" s="1">
        <f t="shared" si="51"/>
        <v>320742.88000000012</v>
      </c>
    </row>
    <row r="48" spans="3:20" x14ac:dyDescent="0.25">
      <c r="C48" s="1" t="s">
        <v>54</v>
      </c>
      <c r="D48" s="57">
        <f>+R22</f>
        <v>337673.04000000015</v>
      </c>
      <c r="J48" s="1">
        <v>19</v>
      </c>
      <c r="K48" s="1">
        <f t="shared" ref="K48:L48" si="52">+K20</f>
        <v>0</v>
      </c>
      <c r="L48" s="1">
        <f t="shared" si="52"/>
        <v>0</v>
      </c>
      <c r="M48" s="1">
        <f t="shared" si="18"/>
        <v>0</v>
      </c>
      <c r="N48" s="1">
        <v>669.76</v>
      </c>
      <c r="R48" s="1">
        <v>19</v>
      </c>
      <c r="S48" s="1">
        <f t="shared" ref="S48:T48" si="53">+R20</f>
        <v>16930.160000000003</v>
      </c>
      <c r="T48" s="1">
        <f t="shared" si="53"/>
        <v>337673.04000000015</v>
      </c>
    </row>
    <row r="71" spans="4:5" x14ac:dyDescent="0.25">
      <c r="D71" s="7">
        <v>58</v>
      </c>
      <c r="E71" s="7">
        <v>25</v>
      </c>
    </row>
    <row r="72" spans="4:5" x14ac:dyDescent="0.25">
      <c r="D72" s="7">
        <v>36</v>
      </c>
      <c r="E72" s="7">
        <v>20</v>
      </c>
    </row>
    <row r="73" spans="4:5" x14ac:dyDescent="0.25">
      <c r="D73" s="7">
        <v>18</v>
      </c>
      <c r="E73" s="7">
        <v>10</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5DD58-306E-4AA0-BF98-645128F312BA}">
  <sheetPr>
    <pageSetUpPr fitToPage="1"/>
  </sheetPr>
  <dimension ref="B1:P34"/>
  <sheetViews>
    <sheetView tabSelected="1" zoomScale="130" zoomScaleNormal="130" zoomScaleSheetLayoutView="130" workbookViewId="0">
      <selection activeCell="D9" sqref="D9"/>
    </sheetView>
  </sheetViews>
  <sheetFormatPr defaultRowHeight="15" x14ac:dyDescent="0.25"/>
  <cols>
    <col min="1" max="1" width="2.7109375" style="10" customWidth="1"/>
    <col min="2" max="2" width="3.5703125" style="10" customWidth="1"/>
    <col min="3" max="3" width="21" style="10" customWidth="1"/>
    <col min="4" max="4" width="6.28515625" style="10" customWidth="1"/>
    <col min="5" max="5" width="8" style="11" customWidth="1"/>
    <col min="6" max="6" width="14" style="10" customWidth="1"/>
    <col min="7" max="7" width="7.28515625" style="10" bestFit="1" customWidth="1"/>
    <col min="8" max="8" width="9.7109375" style="10" customWidth="1"/>
    <col min="9" max="9" width="4.5703125" style="10" customWidth="1"/>
    <col min="10" max="10" width="9.85546875" style="10" customWidth="1"/>
    <col min="11" max="15" width="9.140625" style="10"/>
    <col min="16" max="16" width="6.140625" style="10" customWidth="1"/>
    <col min="17" max="16384" width="9.140625" style="10"/>
  </cols>
  <sheetData>
    <row r="1" spans="2:16" ht="5.25" customHeight="1" x14ac:dyDescent="0.25"/>
    <row r="2" spans="2:16" ht="24" customHeight="1" x14ac:dyDescent="0.25">
      <c r="C2" s="12" t="s">
        <v>66</v>
      </c>
    </row>
    <row r="3" spans="2:16" ht="19.5" customHeight="1" x14ac:dyDescent="0.25"/>
    <row r="4" spans="2:16" ht="19.5" customHeight="1" x14ac:dyDescent="0.25">
      <c r="B4" s="62" t="s">
        <v>64</v>
      </c>
      <c r="C4" s="62"/>
      <c r="D4" s="24"/>
      <c r="E4" s="25"/>
      <c r="F4" s="24"/>
      <c r="G4" s="24"/>
      <c r="H4" s="24"/>
      <c r="I4" s="24"/>
      <c r="J4" s="24"/>
      <c r="K4" s="24"/>
      <c r="L4" s="24"/>
      <c r="M4" s="24"/>
      <c r="N4" s="24"/>
      <c r="O4" s="24"/>
      <c r="P4" s="24"/>
    </row>
    <row r="5" spans="2:16" ht="12.75" customHeight="1" x14ac:dyDescent="0.25">
      <c r="B5" s="24"/>
      <c r="C5" s="26"/>
      <c r="D5" s="24"/>
      <c r="E5" s="25"/>
      <c r="F5" s="24"/>
      <c r="G5" s="24"/>
      <c r="H5" s="24"/>
      <c r="I5" s="24"/>
      <c r="J5" s="24"/>
      <c r="K5" s="24"/>
      <c r="L5" s="24"/>
      <c r="M5" s="24"/>
      <c r="N5" s="24"/>
      <c r="O5" s="24"/>
      <c r="P5" s="24"/>
    </row>
    <row r="6" spans="2:16" ht="12.75" customHeight="1" x14ac:dyDescent="0.25">
      <c r="B6" s="24"/>
      <c r="C6" s="27" t="s">
        <v>61</v>
      </c>
      <c r="D6" s="24"/>
      <c r="E6" s="25"/>
      <c r="F6" s="24"/>
      <c r="G6" s="24"/>
      <c r="H6" s="24"/>
      <c r="I6" s="24"/>
      <c r="J6" s="24"/>
      <c r="K6" s="24"/>
      <c r="L6" s="24"/>
      <c r="M6" s="24"/>
      <c r="N6" s="24"/>
      <c r="O6" s="24"/>
      <c r="P6" s="24"/>
    </row>
    <row r="7" spans="2:16" ht="18.75" customHeight="1" thickBot="1" x14ac:dyDescent="0.3">
      <c r="B7" s="24"/>
      <c r="C7" s="24"/>
      <c r="D7" s="24"/>
      <c r="E7" s="25"/>
      <c r="F7" s="24"/>
      <c r="G7" s="24"/>
      <c r="H7" s="24"/>
      <c r="I7" s="24"/>
      <c r="J7" s="24"/>
      <c r="K7" s="24"/>
      <c r="L7" s="24"/>
      <c r="M7" s="24"/>
      <c r="N7" s="24"/>
      <c r="O7" s="24"/>
      <c r="P7" s="24"/>
    </row>
    <row r="8" spans="2:16" x14ac:dyDescent="0.25">
      <c r="B8" s="24"/>
      <c r="C8" s="28"/>
      <c r="D8" s="58" t="s">
        <v>23</v>
      </c>
      <c r="E8" s="59"/>
      <c r="F8" s="58" t="s">
        <v>6</v>
      </c>
      <c r="G8" s="59"/>
      <c r="H8" s="60" t="s">
        <v>36</v>
      </c>
      <c r="I8" s="61"/>
      <c r="J8" s="24"/>
      <c r="K8" s="24"/>
      <c r="L8" s="24"/>
      <c r="M8" s="24"/>
      <c r="N8" s="24"/>
      <c r="O8" s="24"/>
      <c r="P8" s="24"/>
    </row>
    <row r="9" spans="2:16" ht="24" customHeight="1" x14ac:dyDescent="0.25">
      <c r="B9" s="24"/>
      <c r="C9" s="29" t="s">
        <v>56</v>
      </c>
      <c r="D9" s="56">
        <v>58</v>
      </c>
      <c r="E9" s="30" t="s">
        <v>0</v>
      </c>
      <c r="F9" s="8">
        <v>15000</v>
      </c>
      <c r="G9" s="31" t="s">
        <v>60</v>
      </c>
      <c r="H9" s="8">
        <v>350</v>
      </c>
      <c r="I9" s="32" t="s">
        <v>10</v>
      </c>
      <c r="J9" s="24"/>
      <c r="K9" s="24"/>
      <c r="L9" s="24"/>
      <c r="M9" s="24"/>
      <c r="N9" s="24"/>
      <c r="O9" s="24"/>
      <c r="P9" s="24"/>
    </row>
    <row r="10" spans="2:16" ht="24" customHeight="1" thickBot="1" x14ac:dyDescent="0.3">
      <c r="B10" s="24"/>
      <c r="C10" s="33" t="s">
        <v>57</v>
      </c>
      <c r="D10" s="34">
        <f>VLOOKUP(D9,Forsendur!D71:E73,2,)</f>
        <v>25</v>
      </c>
      <c r="E10" s="35" t="s">
        <v>0</v>
      </c>
      <c r="F10" s="9">
        <v>50000</v>
      </c>
      <c r="G10" s="36" t="s">
        <v>60</v>
      </c>
      <c r="H10" s="9">
        <v>4000</v>
      </c>
      <c r="I10" s="37" t="s">
        <v>10</v>
      </c>
      <c r="J10" s="24"/>
      <c r="K10" s="24"/>
      <c r="L10" s="24"/>
      <c r="M10" s="24"/>
      <c r="N10" s="24"/>
      <c r="O10" s="24"/>
      <c r="P10" s="24"/>
    </row>
    <row r="11" spans="2:16" ht="11.25" customHeight="1" x14ac:dyDescent="0.25">
      <c r="B11" s="24"/>
      <c r="C11" s="24"/>
      <c r="D11" s="24"/>
      <c r="E11" s="25"/>
      <c r="F11" s="24"/>
      <c r="G11" s="24"/>
      <c r="H11" s="24"/>
      <c r="I11" s="24"/>
      <c r="J11" s="24"/>
      <c r="K11" s="24"/>
      <c r="L11" s="24"/>
      <c r="M11" s="24"/>
      <c r="N11" s="24"/>
      <c r="O11" s="24"/>
      <c r="P11" s="24"/>
    </row>
    <row r="12" spans="2:16" ht="7.5" customHeight="1" thickBot="1" x14ac:dyDescent="0.3">
      <c r="B12" s="24"/>
      <c r="C12" s="24"/>
      <c r="D12" s="24"/>
      <c r="E12" s="25"/>
      <c r="F12" s="24"/>
      <c r="G12" s="24"/>
      <c r="H12" s="24"/>
      <c r="I12" s="24"/>
      <c r="J12" s="24"/>
      <c r="K12" s="24"/>
      <c r="L12" s="24"/>
      <c r="M12" s="24"/>
      <c r="N12" s="24"/>
      <c r="O12" s="24"/>
      <c r="P12" s="24"/>
    </row>
    <row r="13" spans="2:16" ht="20.25" customHeight="1" x14ac:dyDescent="0.25">
      <c r="B13" s="24"/>
      <c r="C13" s="28" t="s">
        <v>5</v>
      </c>
      <c r="D13" s="54">
        <v>10</v>
      </c>
      <c r="E13" s="38" t="s">
        <v>18</v>
      </c>
      <c r="F13" s="24"/>
      <c r="G13" s="24"/>
      <c r="H13" s="24"/>
      <c r="I13" s="24"/>
      <c r="J13" s="24"/>
      <c r="K13" s="24"/>
      <c r="L13" s="24"/>
      <c r="M13" s="24"/>
      <c r="N13" s="24"/>
      <c r="O13" s="24"/>
      <c r="P13" s="24"/>
    </row>
    <row r="14" spans="2:16" ht="20.25" customHeight="1" x14ac:dyDescent="0.25">
      <c r="B14" s="24"/>
      <c r="C14" s="39" t="s">
        <v>59</v>
      </c>
      <c r="D14" s="55">
        <v>50</v>
      </c>
      <c r="E14" s="40" t="s">
        <v>58</v>
      </c>
      <c r="F14" s="24"/>
      <c r="G14" s="24"/>
      <c r="H14" s="24"/>
      <c r="I14" s="24"/>
      <c r="J14" s="24"/>
      <c r="K14" s="24"/>
      <c r="L14" s="24"/>
      <c r="M14" s="24"/>
      <c r="N14" s="24"/>
      <c r="O14" s="24"/>
      <c r="P14" s="24"/>
    </row>
    <row r="15" spans="2:16" ht="20.25" customHeight="1" thickBot="1" x14ac:dyDescent="0.3">
      <c r="B15" s="24"/>
      <c r="C15" s="41" t="s">
        <v>21</v>
      </c>
      <c r="D15" s="23">
        <f>6.91+7.69</f>
        <v>14.600000000000001</v>
      </c>
      <c r="E15" s="42" t="s">
        <v>3</v>
      </c>
      <c r="F15" s="24"/>
      <c r="G15" s="24"/>
      <c r="H15" s="24"/>
      <c r="I15" s="24"/>
      <c r="J15" s="24"/>
      <c r="K15" s="24"/>
      <c r="L15" s="24"/>
      <c r="M15" s="24"/>
      <c r="N15" s="24"/>
      <c r="O15" s="24"/>
      <c r="P15" s="24"/>
    </row>
    <row r="16" spans="2:16" x14ac:dyDescent="0.25">
      <c r="B16" s="24"/>
      <c r="C16" s="24"/>
      <c r="D16" s="24"/>
      <c r="E16" s="25"/>
      <c r="F16" s="24"/>
      <c r="G16" s="24"/>
      <c r="H16" s="24"/>
      <c r="I16" s="24"/>
      <c r="J16" s="24"/>
      <c r="K16" s="24"/>
      <c r="L16" s="24"/>
      <c r="M16" s="24"/>
      <c r="N16" s="24"/>
      <c r="O16" s="24"/>
      <c r="P16" s="24"/>
    </row>
    <row r="17" spans="2:16" ht="12" customHeight="1" x14ac:dyDescent="0.25"/>
    <row r="18" spans="2:16" ht="23.25" customHeight="1" x14ac:dyDescent="0.25">
      <c r="B18" s="62" t="s">
        <v>65</v>
      </c>
      <c r="C18" s="62"/>
      <c r="D18" s="24"/>
      <c r="E18" s="25"/>
      <c r="F18" s="24"/>
      <c r="G18" s="24"/>
      <c r="H18" s="24"/>
      <c r="I18" s="24"/>
      <c r="J18" s="24"/>
      <c r="K18" s="24"/>
      <c r="L18" s="24"/>
      <c r="M18" s="24"/>
      <c r="N18" s="24"/>
      <c r="O18" s="24"/>
      <c r="P18" s="24"/>
    </row>
    <row r="19" spans="2:16" x14ac:dyDescent="0.25">
      <c r="B19" s="24"/>
      <c r="C19" s="24"/>
      <c r="D19" s="24"/>
      <c r="E19" s="25"/>
      <c r="F19" s="24"/>
      <c r="G19" s="24"/>
      <c r="H19" s="24"/>
      <c r="I19" s="24"/>
      <c r="J19" s="24"/>
      <c r="K19" s="24"/>
      <c r="L19" s="24"/>
      <c r="M19" s="24"/>
      <c r="N19" s="24"/>
      <c r="O19" s="24"/>
      <c r="P19" s="24"/>
    </row>
    <row r="20" spans="2:16" x14ac:dyDescent="0.25">
      <c r="B20" s="24"/>
      <c r="C20" s="24"/>
      <c r="D20" s="24"/>
      <c r="E20" s="25"/>
      <c r="F20" s="24"/>
      <c r="G20" s="24"/>
      <c r="H20" s="24"/>
      <c r="I20" s="24"/>
      <c r="J20" s="24"/>
      <c r="K20" s="24"/>
      <c r="L20" s="24"/>
      <c r="M20" s="24"/>
      <c r="N20" s="24"/>
      <c r="O20" s="24"/>
      <c r="P20" s="24"/>
    </row>
    <row r="21" spans="2:16" ht="15.75" x14ac:dyDescent="0.25">
      <c r="B21" s="24"/>
      <c r="C21" s="43" t="s">
        <v>9</v>
      </c>
      <c r="D21" s="43"/>
      <c r="E21" s="44"/>
      <c r="F21" s="43">
        <f>+Forsendur!D22</f>
        <v>16930.160000000003</v>
      </c>
      <c r="G21" s="43" t="s">
        <v>10</v>
      </c>
      <c r="H21" s="24"/>
      <c r="I21" s="24"/>
      <c r="J21" s="24"/>
      <c r="K21" s="24"/>
      <c r="L21" s="24"/>
      <c r="M21" s="24"/>
      <c r="N21" s="24"/>
      <c r="O21" s="24"/>
      <c r="P21" s="24"/>
    </row>
    <row r="22" spans="2:16" ht="15.75" x14ac:dyDescent="0.25">
      <c r="B22" s="24"/>
      <c r="C22" s="45" t="s">
        <v>69</v>
      </c>
      <c r="D22" s="45"/>
      <c r="E22" s="46"/>
      <c r="F22" s="45">
        <f>+Forsendur!D31</f>
        <v>2160.2807017543864</v>
      </c>
      <c r="G22" s="45" t="s">
        <v>10</v>
      </c>
      <c r="H22" s="24"/>
      <c r="I22" s="24"/>
      <c r="J22" s="24"/>
      <c r="K22" s="24"/>
      <c r="L22" s="24"/>
      <c r="M22" s="24"/>
      <c r="N22" s="24"/>
      <c r="O22" s="24"/>
      <c r="P22" s="24"/>
    </row>
    <row r="23" spans="2:16" ht="15.75" x14ac:dyDescent="0.25">
      <c r="B23" s="24"/>
      <c r="C23" s="43" t="s">
        <v>62</v>
      </c>
      <c r="D23" s="43"/>
      <c r="E23" s="44"/>
      <c r="F23" s="43">
        <f>+F21+F22</f>
        <v>19090.440701754389</v>
      </c>
      <c r="G23" s="43" t="s">
        <v>10</v>
      </c>
      <c r="H23" s="24"/>
      <c r="I23" s="24"/>
      <c r="J23" s="24"/>
      <c r="K23" s="24"/>
      <c r="L23" s="24"/>
      <c r="M23" s="24"/>
      <c r="N23" s="24"/>
      <c r="O23" s="24"/>
      <c r="P23" s="24"/>
    </row>
    <row r="24" spans="2:16" ht="15.75" x14ac:dyDescent="0.25">
      <c r="B24" s="24"/>
      <c r="C24" s="43"/>
      <c r="D24" s="43"/>
      <c r="E24" s="44"/>
      <c r="F24" s="43"/>
      <c r="G24" s="43"/>
      <c r="H24" s="24"/>
      <c r="I24" s="24"/>
      <c r="J24" s="24"/>
      <c r="K24" s="24"/>
      <c r="L24" s="24"/>
      <c r="M24" s="24"/>
      <c r="N24" s="24"/>
      <c r="O24" s="24"/>
      <c r="P24" s="24"/>
    </row>
    <row r="25" spans="2:16" ht="15.75" x14ac:dyDescent="0.25">
      <c r="B25" s="24"/>
      <c r="C25" s="43"/>
      <c r="D25" s="43"/>
      <c r="E25" s="44"/>
      <c r="F25" s="43"/>
      <c r="G25" s="43"/>
      <c r="H25" s="24"/>
      <c r="I25" s="24"/>
      <c r="J25" s="24"/>
      <c r="K25" s="24"/>
      <c r="L25" s="24"/>
      <c r="M25" s="24"/>
      <c r="N25" s="24"/>
      <c r="O25" s="24"/>
      <c r="P25" s="24"/>
    </row>
    <row r="26" spans="2:16" ht="15.75" x14ac:dyDescent="0.25">
      <c r="B26" s="24"/>
      <c r="C26" s="47" t="s">
        <v>63</v>
      </c>
      <c r="D26" s="47"/>
      <c r="E26" s="48"/>
      <c r="F26" s="49">
        <f>+Forsendur!D47</f>
        <v>1.9119516710080817</v>
      </c>
      <c r="G26" s="47" t="s">
        <v>2</v>
      </c>
      <c r="H26" s="24"/>
      <c r="I26" s="24"/>
      <c r="J26" s="24"/>
      <c r="K26" s="24"/>
      <c r="L26" s="24"/>
      <c r="M26" s="24"/>
      <c r="N26" s="24"/>
      <c r="O26" s="24"/>
      <c r="P26" s="24"/>
    </row>
    <row r="27" spans="2:16" ht="15.75" x14ac:dyDescent="0.25">
      <c r="B27" s="24"/>
      <c r="C27" s="43"/>
      <c r="D27" s="43"/>
      <c r="E27" s="44"/>
      <c r="F27" s="43"/>
      <c r="G27" s="43"/>
      <c r="H27" s="24"/>
      <c r="I27" s="24"/>
      <c r="J27" s="24"/>
      <c r="K27" s="24"/>
      <c r="L27" s="24"/>
      <c r="M27" s="24"/>
      <c r="N27" s="24"/>
      <c r="O27" s="24"/>
      <c r="P27" s="24"/>
    </row>
    <row r="28" spans="2:16" ht="15.75" x14ac:dyDescent="0.25">
      <c r="B28" s="24"/>
      <c r="C28" s="47" t="s">
        <v>68</v>
      </c>
      <c r="D28" s="50"/>
      <c r="E28" s="51"/>
      <c r="F28" s="47">
        <f>+Forsendur!S11</f>
        <v>150301.60000000003</v>
      </c>
      <c r="G28" s="47" t="s">
        <v>10</v>
      </c>
      <c r="H28" s="24"/>
      <c r="I28" s="24"/>
      <c r="J28" s="24"/>
      <c r="K28" s="24"/>
      <c r="L28" s="24"/>
      <c r="M28" s="24"/>
      <c r="N28" s="24"/>
      <c r="O28" s="24"/>
      <c r="P28" s="24"/>
    </row>
    <row r="29" spans="2:16" ht="17.25" x14ac:dyDescent="0.3">
      <c r="B29" s="24"/>
      <c r="C29" s="52"/>
      <c r="D29" s="24"/>
      <c r="E29" s="25"/>
      <c r="F29" s="43"/>
      <c r="G29" s="43"/>
      <c r="H29" s="24"/>
      <c r="I29" s="24"/>
      <c r="J29" s="24"/>
      <c r="K29" s="24"/>
      <c r="L29" s="24"/>
      <c r="M29" s="24"/>
      <c r="N29" s="24"/>
      <c r="O29" s="24"/>
      <c r="P29" s="24"/>
    </row>
    <row r="30" spans="2:16" ht="15.75" x14ac:dyDescent="0.25">
      <c r="B30" s="24"/>
      <c r="C30" s="47" t="s">
        <v>67</v>
      </c>
      <c r="D30" s="50"/>
      <c r="E30" s="51"/>
      <c r="F30" s="47">
        <f>+Forsendur!D48</f>
        <v>337673.04000000015</v>
      </c>
      <c r="G30" s="47" t="s">
        <v>10</v>
      </c>
      <c r="H30" s="24"/>
      <c r="I30" s="24"/>
      <c r="J30" s="24"/>
      <c r="K30" s="24"/>
      <c r="L30" s="24"/>
      <c r="M30" s="24"/>
      <c r="N30" s="24"/>
      <c r="O30" s="24"/>
      <c r="P30" s="24"/>
    </row>
    <row r="31" spans="2:16" x14ac:dyDescent="0.25">
      <c r="B31" s="24"/>
      <c r="C31" s="24"/>
      <c r="D31" s="24"/>
      <c r="E31" s="25"/>
      <c r="F31" s="24"/>
      <c r="G31" s="24"/>
      <c r="H31" s="24"/>
      <c r="I31" s="24"/>
      <c r="J31" s="24"/>
      <c r="K31" s="24"/>
      <c r="L31" s="24"/>
      <c r="M31" s="24"/>
      <c r="N31" s="24"/>
      <c r="O31" s="24"/>
      <c r="P31" s="24"/>
    </row>
    <row r="32" spans="2:16" x14ac:dyDescent="0.25">
      <c r="B32" s="24"/>
      <c r="C32" s="24"/>
      <c r="D32" s="24"/>
      <c r="E32" s="25"/>
      <c r="F32" s="24"/>
      <c r="G32" s="24"/>
      <c r="H32" s="24"/>
      <c r="I32" s="24"/>
      <c r="J32" s="24"/>
      <c r="K32" s="24"/>
      <c r="L32" s="24"/>
      <c r="M32" s="24"/>
      <c r="N32" s="24"/>
      <c r="O32" s="24"/>
      <c r="P32" s="24"/>
    </row>
    <row r="33" spans="2:16" x14ac:dyDescent="0.25">
      <c r="B33" s="24"/>
      <c r="C33" s="53" t="s">
        <v>70</v>
      </c>
      <c r="D33" s="24"/>
      <c r="E33" s="25"/>
      <c r="F33" s="24"/>
      <c r="G33" s="24"/>
      <c r="H33" s="24"/>
      <c r="I33" s="24"/>
      <c r="J33" s="24"/>
      <c r="K33" s="24"/>
      <c r="L33" s="24"/>
      <c r="M33" s="24"/>
      <c r="N33" s="24"/>
      <c r="O33" s="24"/>
      <c r="P33" s="24"/>
    </row>
    <row r="34" spans="2:16" x14ac:dyDescent="0.25">
      <c r="B34" s="24"/>
      <c r="C34" s="24"/>
      <c r="D34" s="24"/>
      <c r="E34" s="25"/>
      <c r="F34" s="24"/>
      <c r="G34" s="24"/>
      <c r="H34" s="24"/>
      <c r="I34" s="24"/>
      <c r="J34" s="24"/>
      <c r="K34" s="24"/>
      <c r="L34" s="24"/>
      <c r="M34" s="24"/>
      <c r="N34" s="24"/>
      <c r="O34" s="24"/>
      <c r="P34" s="24"/>
    </row>
  </sheetData>
  <sheetProtection algorithmName="SHA-512" hashValue="FWkOyHOIGvZT/br3ioyE+aZhBZsOnSKvrj3JnFOVjd6ByK8HPSln8LIUXI8JYZD9ERoh9lZcJsHGWHS9mPTjhQ==" saltValue="2YUogOdlJg3FAwTagshO5Q==" spinCount="100000" sheet="1" objects="1" scenarios="1"/>
  <mergeCells count="5">
    <mergeCell ref="D8:E8"/>
    <mergeCell ref="F8:G8"/>
    <mergeCell ref="H8:I8"/>
    <mergeCell ref="B4:C4"/>
    <mergeCell ref="B18:C18"/>
  </mergeCells>
  <pageMargins left="0.7" right="0.7" top="0.75" bottom="0.75" header="0.3" footer="0.3"/>
  <pageSetup paperSize="9" scale="90" orientation="landscape"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19135C0-0232-4563-96EE-139DA6E59EEA}">
          <x14:formula1>
            <xm:f>Forsendur!$D$71:$D$73</xm:f>
          </x14:formula1>
          <xm:sqref>D9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Forsendur</vt:lpstr>
      <vt:lpstr>LED - skipta strax!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HSH</dc:creator>
  <cp:lastModifiedBy>HSH</cp:lastModifiedBy>
  <cp:lastPrinted>2018-05-10T08:45:28Z</cp:lastPrinted>
  <dcterms:created xsi:type="dcterms:W3CDTF">2018-05-09T06:12:19Z</dcterms:created>
  <dcterms:modified xsi:type="dcterms:W3CDTF">2018-05-17T06:50:17Z</dcterms:modified>
</cp:coreProperties>
</file>